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FDB86E15-DFA2-47ED-96EC-3C67E2FA1DAD}"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sheetId="33"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CAPM'!$A$1:$I$40</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Debt'!$A$1:$K$37</definedName>
    <definedName name="_xlnm.Print_Area" localSheetId="11">'Direct GCF'!$A$1:$N$42</definedName>
    <definedName name="_xlnm.Print_Area" localSheetId="12">'Direct NOPAT'!$A$1:$N$66</definedName>
    <definedName name="_xlnm.Print_Area" localSheetId="7">'Dividends '!$A$1:$K$34</definedName>
    <definedName name="_xlnm.Print_Area" localSheetId="8">Earnings!$A$1:$K$34</definedName>
    <definedName name="_xlnm.Print_Area" localSheetId="13">'Growth &amp; Inflation Rates'!$A$1:$H$116</definedName>
    <definedName name="_xlnm.Print_Area" localSheetId="14">'Indicated Yield Equity Rate'!$A$1:$F$54</definedName>
    <definedName name="_xlnm.Print_Area" localSheetId="5">'Maintenance CapEx'!$A$1:$L$79</definedName>
    <definedName name="_xlnm.Print_Area" localSheetId="4">'Market to Book Ratios'!$A$1:$G$66</definedName>
    <definedName name="_xlnm.Print_Area" localSheetId="18">Multiples!$A$1:$J$46</definedName>
    <definedName name="_xlnm.Print_Area" localSheetId="3">'S&amp;D'!$A$1:$L$94</definedName>
    <definedName name="_xlnm.Print_Area" localSheetId="16">'Single Stage Div Growth Model'!$A$1:$K$50</definedName>
    <definedName name="_xlnm.Print_Area" localSheetId="17">'Two-Stage Div Growth Model'!$A$1:$I$48</definedName>
    <definedName name="_xlnm.Print_Area" localSheetId="1">'Yield CapRate'!$A$1:$H$35</definedName>
    <definedName name="_xlnm.Print_Area" localSheetId="10">'Yield Debt'!$A$1:$M$62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D90" i="24"/>
  <c r="F90" i="24" s="1"/>
  <c r="E89" i="24"/>
  <c r="F86" i="24"/>
  <c r="D86" i="24"/>
  <c r="D85" i="24"/>
  <c r="F85" i="24" s="1"/>
  <c r="F84" i="24"/>
  <c r="D84" i="24"/>
  <c r="D83" i="24"/>
  <c r="F83" i="24" s="1"/>
  <c r="F82" i="24"/>
  <c r="D82" i="24"/>
  <c r="D81" i="24"/>
  <c r="F81" i="24" s="1"/>
  <c r="F80" i="24"/>
  <c r="D80" i="24"/>
  <c r="D79" i="24"/>
  <c r="F79" i="24" s="1"/>
  <c r="D89" i="24" l="1"/>
  <c r="F89" i="24" s="1"/>
  <c r="D31" i="33" l="1"/>
  <c r="D17" i="33"/>
  <c r="F46" i="34"/>
  <c r="E46" i="34"/>
  <c r="C46" i="34"/>
  <c r="D46" i="34" s="1"/>
  <c r="G46" i="34" s="1"/>
  <c r="B46" i="34"/>
  <c r="A46" i="34"/>
  <c r="C20" i="34"/>
  <c r="E20" i="34"/>
  <c r="D20" i="34"/>
  <c r="F20" i="34" s="1"/>
  <c r="A6" i="25"/>
  <c r="A6" i="20"/>
  <c r="A6" i="19"/>
  <c r="A59" i="34" l="1"/>
  <c r="A58" i="34"/>
  <c r="A57" i="34"/>
  <c r="A48" i="34"/>
  <c r="A47" i="34"/>
  <c r="A45" i="34"/>
  <c r="E35" i="34" l="1"/>
  <c r="F61" i="34" s="1"/>
  <c r="E33" i="34"/>
  <c r="F59" i="34" s="1"/>
  <c r="E32" i="34"/>
  <c r="E31" i="34"/>
  <c r="F57" i="34" s="1"/>
  <c r="E29" i="34"/>
  <c r="E28" i="34"/>
  <c r="E26" i="34"/>
  <c r="F52" i="34" s="1"/>
  <c r="E24" i="34"/>
  <c r="F50" i="34" s="1"/>
  <c r="E17" i="34"/>
  <c r="E22" i="34"/>
  <c r="E21" i="34"/>
  <c r="F47" i="34" s="1"/>
  <c r="E19" i="34"/>
  <c r="F45" i="34" s="1"/>
  <c r="A6" i="34"/>
  <c r="F58" i="34"/>
  <c r="B58" i="34"/>
  <c r="E58" i="34" s="1"/>
  <c r="F48" i="34"/>
  <c r="B48" i="34"/>
  <c r="E48" i="34" s="1"/>
  <c r="B47" i="34"/>
  <c r="E47" i="34" s="1"/>
  <c r="A6" i="33"/>
  <c r="A7" i="24"/>
  <c r="A6" i="12"/>
  <c r="A6" i="5"/>
  <c r="A6" i="8"/>
  <c r="A6" i="13"/>
  <c r="A6" i="27"/>
  <c r="A6" i="17"/>
  <c r="A8" i="14"/>
  <c r="A8" i="11"/>
  <c r="A16" i="6"/>
  <c r="D16" i="7"/>
  <c r="D15" i="10"/>
  <c r="A9" i="29"/>
  <c r="C16" i="34"/>
  <c r="C22" i="34" s="1"/>
  <c r="B61" i="34"/>
  <c r="E61" i="34" s="1"/>
  <c r="B59" i="34"/>
  <c r="E59" i="34" s="1"/>
  <c r="B57" i="34"/>
  <c r="E57" i="34" s="1"/>
  <c r="F55" i="34"/>
  <c r="B55" i="34"/>
  <c r="E55" i="34" s="1"/>
  <c r="F54" i="34"/>
  <c r="B54" i="34"/>
  <c r="E54" i="34" s="1"/>
  <c r="B52" i="34"/>
  <c r="E52" i="34" s="1"/>
  <c r="B50" i="34"/>
  <c r="E50" i="34" s="1"/>
  <c r="B45" i="34"/>
  <c r="E45" i="34" s="1"/>
  <c r="F43" i="34"/>
  <c r="B43" i="34"/>
  <c r="E43" i="34" s="1"/>
  <c r="F42" i="34"/>
  <c r="B42" i="34"/>
  <c r="E42" i="34" s="1"/>
  <c r="C31" i="34" l="1"/>
  <c r="D22" i="34"/>
  <c r="F22" i="34" s="1"/>
  <c r="D19" i="33" s="1"/>
  <c r="C48" i="34"/>
  <c r="D48" i="34" s="1"/>
  <c r="G48" i="34" s="1"/>
  <c r="D33" i="33" s="1"/>
  <c r="C21" i="34"/>
  <c r="C57" i="34"/>
  <c r="D57" i="34" s="1"/>
  <c r="G57" i="34" s="1"/>
  <c r="D31" i="34"/>
  <c r="F31" i="34" s="1"/>
  <c r="D24" i="33" s="1"/>
  <c r="C19" i="34"/>
  <c r="C17" i="34"/>
  <c r="C32" i="34" s="1"/>
  <c r="C28" i="34"/>
  <c r="C35" i="34"/>
  <c r="D35" i="34" s="1"/>
  <c r="F35" i="34" s="1"/>
  <c r="D27" i="33" s="1"/>
  <c r="C42" i="34"/>
  <c r="D42" i="34" s="1"/>
  <c r="G42" i="34" s="1"/>
  <c r="D28" i="33" s="1"/>
  <c r="C29" i="34"/>
  <c r="C33" i="34"/>
  <c r="C26" i="34"/>
  <c r="D16" i="34"/>
  <c r="F16" i="34" s="1"/>
  <c r="C24" i="34"/>
  <c r="D40" i="33" l="1"/>
  <c r="D38" i="33"/>
  <c r="C58" i="34"/>
  <c r="D58" i="34" s="1"/>
  <c r="G58" i="34" s="1"/>
  <c r="D39" i="33" s="1"/>
  <c r="D32" i="34"/>
  <c r="F32" i="34" s="1"/>
  <c r="D25" i="33" s="1"/>
  <c r="C47" i="34"/>
  <c r="D47" i="34" s="1"/>
  <c r="G47" i="34" s="1"/>
  <c r="D32" i="33" s="1"/>
  <c r="D21" i="34"/>
  <c r="F21" i="34" s="1"/>
  <c r="D18" i="33" s="1"/>
  <c r="C50" i="34"/>
  <c r="D50" i="34" s="1"/>
  <c r="G50" i="34" s="1"/>
  <c r="D34" i="33" s="1"/>
  <c r="D24" i="34"/>
  <c r="F24" i="34" s="1"/>
  <c r="C61" i="34"/>
  <c r="D61" i="34" s="1"/>
  <c r="G61" i="34" s="1"/>
  <c r="D41" i="33" s="1"/>
  <c r="D33" i="34"/>
  <c r="F33" i="34" s="1"/>
  <c r="D26" i="33" s="1"/>
  <c r="C54" i="34"/>
  <c r="D54" i="34" s="1"/>
  <c r="G54" i="34" s="1"/>
  <c r="D36" i="33" s="1"/>
  <c r="D28" i="34"/>
  <c r="F28" i="34" s="1"/>
  <c r="C59" i="34"/>
  <c r="D59" i="34" s="1"/>
  <c r="G59" i="34" s="1"/>
  <c r="C55" i="34"/>
  <c r="D55" i="34" s="1"/>
  <c r="G55" i="34" s="1"/>
  <c r="D37" i="33" s="1"/>
  <c r="D29" i="34"/>
  <c r="F29" i="34" s="1"/>
  <c r="C43" i="34"/>
  <c r="D43" i="34" s="1"/>
  <c r="G43" i="34" s="1"/>
  <c r="D29" i="33" s="1"/>
  <c r="D17" i="34"/>
  <c r="F17" i="34" s="1"/>
  <c r="D26" i="34"/>
  <c r="F26" i="34" s="1"/>
  <c r="C52" i="34"/>
  <c r="D52" i="34" s="1"/>
  <c r="G52" i="34" s="1"/>
  <c r="D35" i="33" s="1"/>
  <c r="C45" i="34"/>
  <c r="D45" i="34" s="1"/>
  <c r="G45" i="34" s="1"/>
  <c r="D30" i="33" s="1"/>
  <c r="D19" i="34"/>
  <c r="F19" i="34" s="1"/>
  <c r="D23" i="7" l="1"/>
  <c r="D45" i="33"/>
  <c r="D44" i="33"/>
  <c r="D43" i="33"/>
  <c r="D42" i="33"/>
  <c r="J30" i="25"/>
  <c r="J29" i="25"/>
  <c r="G30" i="25"/>
  <c r="G29" i="25"/>
  <c r="J25" i="25"/>
  <c r="J24" i="25"/>
  <c r="J23" i="25"/>
  <c r="J22" i="25"/>
  <c r="J21" i="25"/>
  <c r="J20" i="25"/>
  <c r="J19" i="25"/>
  <c r="J18" i="25"/>
  <c r="J17" i="25"/>
  <c r="G25" i="25"/>
  <c r="G24" i="25"/>
  <c r="G23" i="25"/>
  <c r="G22" i="25"/>
  <c r="G21" i="25"/>
  <c r="G20" i="25"/>
  <c r="G19" i="25"/>
  <c r="G18" i="25"/>
  <c r="G17" i="25"/>
  <c r="G16" i="25"/>
  <c r="J16" i="25"/>
  <c r="D14" i="33" l="1"/>
  <c r="D56" i="10"/>
  <c r="C29" i="11"/>
  <c r="C28" i="11"/>
  <c r="C27" i="11"/>
  <c r="C26" i="11"/>
  <c r="C25" i="11"/>
  <c r="C24" i="11"/>
  <c r="C23" i="11"/>
  <c r="C22" i="11"/>
  <c r="C21" i="11"/>
  <c r="C20" i="11"/>
  <c r="F21" i="20"/>
  <c r="G24" i="24"/>
  <c r="E21" i="20"/>
  <c r="D30" i="20"/>
  <c r="D29" i="20"/>
  <c r="D28" i="20"/>
  <c r="D27" i="20"/>
  <c r="D26" i="20"/>
  <c r="D25" i="20"/>
  <c r="D24" i="20"/>
  <c r="D23" i="20"/>
  <c r="D22" i="20"/>
  <c r="D21" i="20"/>
  <c r="F26" i="19"/>
  <c r="F25" i="19"/>
  <c r="F24" i="19"/>
  <c r="F23" i="19"/>
  <c r="F22" i="19"/>
  <c r="F21" i="19"/>
  <c r="F20" i="19"/>
  <c r="F19" i="19"/>
  <c r="F18" i="19"/>
  <c r="F17" i="19"/>
  <c r="F28" i="20" l="1"/>
  <c r="F24" i="20"/>
  <c r="F30" i="20"/>
  <c r="F22" i="20"/>
  <c r="F25" i="20"/>
  <c r="F27" i="20"/>
  <c r="F23" i="20"/>
  <c r="F26" i="20"/>
  <c r="F29" i="20"/>
  <c r="D22" i="33"/>
  <c r="D21" i="33"/>
  <c r="D23" i="33"/>
  <c r="D15" i="33"/>
  <c r="D16" i="33"/>
  <c r="D20" i="33"/>
  <c r="H22" i="17"/>
  <c r="H22" i="27"/>
  <c r="A49" i="12"/>
  <c r="C49" i="12"/>
  <c r="D49" i="12"/>
  <c r="F49" i="12" s="1"/>
  <c r="E49" i="12"/>
  <c r="E62" i="12" s="1"/>
  <c r="A50" i="12"/>
  <c r="C50" i="12"/>
  <c r="D50" i="12"/>
  <c r="E50" i="12"/>
  <c r="F50" i="12"/>
  <c r="G50" i="12" s="1"/>
  <c r="A51" i="12"/>
  <c r="C51" i="12"/>
  <c r="D51" i="12"/>
  <c r="F51" i="12" s="1"/>
  <c r="G51" i="12" s="1"/>
  <c r="E51" i="12"/>
  <c r="A52" i="12"/>
  <c r="C52" i="12"/>
  <c r="D52" i="12"/>
  <c r="E52" i="12"/>
  <c r="F52" i="12"/>
  <c r="G52" i="12"/>
  <c r="A53" i="12"/>
  <c r="C53" i="12"/>
  <c r="D53" i="12"/>
  <c r="F53" i="12" s="1"/>
  <c r="G53" i="12" s="1"/>
  <c r="E53" i="12"/>
  <c r="A54" i="12"/>
  <c r="C54" i="12"/>
  <c r="D54" i="12"/>
  <c r="E54" i="12"/>
  <c r="F54" i="12"/>
  <c r="G54" i="12" s="1"/>
  <c r="A55" i="12"/>
  <c r="C55" i="12"/>
  <c r="D55" i="12"/>
  <c r="F55" i="12" s="1"/>
  <c r="G55" i="12" s="1"/>
  <c r="E55" i="12"/>
  <c r="A56" i="12"/>
  <c r="C56" i="12"/>
  <c r="D56" i="12"/>
  <c r="E56" i="12"/>
  <c r="F56" i="12"/>
  <c r="G56" i="12"/>
  <c r="A57" i="12"/>
  <c r="C57" i="12"/>
  <c r="D57" i="12"/>
  <c r="F57" i="12" s="1"/>
  <c r="G57" i="12" s="1"/>
  <c r="E57" i="12"/>
  <c r="A58" i="12"/>
  <c r="C58" i="12"/>
  <c r="D58" i="12"/>
  <c r="E58" i="12"/>
  <c r="F58" i="12"/>
  <c r="G58" i="12" s="1"/>
  <c r="E63" i="12"/>
  <c r="D51" i="33" l="1"/>
  <c r="D49" i="33"/>
  <c r="D50" i="33"/>
  <c r="F63" i="12"/>
  <c r="G49" i="12"/>
  <c r="F62" i="12"/>
  <c r="E25" i="12"/>
  <c r="E24" i="12"/>
  <c r="E23" i="12"/>
  <c r="E22" i="12"/>
  <c r="E21" i="12"/>
  <c r="E20" i="12"/>
  <c r="E19" i="12"/>
  <c r="E18" i="12"/>
  <c r="E17" i="12"/>
  <c r="K25" i="12"/>
  <c r="K24" i="12"/>
  <c r="K23" i="12"/>
  <c r="K22" i="12"/>
  <c r="K21" i="12"/>
  <c r="K20" i="12"/>
  <c r="K19" i="12"/>
  <c r="K18" i="12"/>
  <c r="K17" i="12"/>
  <c r="K16" i="12"/>
  <c r="E16" i="12"/>
  <c r="G63" i="12" l="1"/>
  <c r="G62" i="12"/>
  <c r="E11" i="13"/>
  <c r="D22" i="13"/>
  <c r="D21" i="13"/>
  <c r="D27" i="13"/>
  <c r="E22" i="13" l="1"/>
  <c r="E23" i="13"/>
  <c r="J30" i="3"/>
  <c r="E26" i="13"/>
  <c r="E28" i="13"/>
  <c r="H25" i="3"/>
  <c r="J25" i="3"/>
  <c r="G45" i="3"/>
  <c r="J26" i="3"/>
  <c r="F45" i="3"/>
  <c r="G46" i="3"/>
  <c r="F46" i="3" l="1"/>
  <c r="I28" i="3"/>
  <c r="F47" i="3"/>
  <c r="G47" i="3"/>
  <c r="J28" i="3"/>
  <c r="J29" i="3"/>
  <c r="G48" i="3"/>
  <c r="I29" i="3"/>
  <c r="G43" i="3"/>
  <c r="J24" i="3"/>
  <c r="G42" i="3"/>
  <c r="I23" i="3"/>
  <c r="J23" i="3"/>
  <c r="J22" i="3" l="1"/>
  <c r="G41" i="3"/>
  <c r="F41" i="3"/>
  <c r="G49" i="3"/>
  <c r="I30" i="3" l="1"/>
  <c r="D45" i="3"/>
  <c r="D21" i="25"/>
  <c r="C21" i="25"/>
  <c r="B21" i="25"/>
  <c r="D20" i="25"/>
  <c r="C20" i="25"/>
  <c r="B20" i="25"/>
  <c r="D19" i="25"/>
  <c r="C19" i="25"/>
  <c r="B19" i="25"/>
  <c r="D18" i="25"/>
  <c r="C18" i="25"/>
  <c r="B18" i="25"/>
  <c r="D17" i="25"/>
  <c r="C17" i="25"/>
  <c r="B17" i="25"/>
  <c r="E26" i="20"/>
  <c r="C26" i="20"/>
  <c r="B26" i="20"/>
  <c r="A26" i="20"/>
  <c r="E25" i="20"/>
  <c r="C25" i="20"/>
  <c r="B25" i="20"/>
  <c r="A25" i="20"/>
  <c r="E24" i="20"/>
  <c r="C24" i="20"/>
  <c r="B24" i="20"/>
  <c r="A24" i="20"/>
  <c r="E23" i="20"/>
  <c r="C23" i="20"/>
  <c r="B23" i="20"/>
  <c r="A23" i="20"/>
  <c r="E22" i="20"/>
  <c r="C22" i="20"/>
  <c r="B22" i="20"/>
  <c r="A22" i="20"/>
  <c r="D22" i="19"/>
  <c r="C22" i="19"/>
  <c r="B22" i="19"/>
  <c r="A22" i="19"/>
  <c r="D21" i="19"/>
  <c r="C21" i="19"/>
  <c r="B21" i="19"/>
  <c r="A21" i="19"/>
  <c r="D20" i="19"/>
  <c r="C20" i="19"/>
  <c r="B20" i="19"/>
  <c r="A20" i="19"/>
  <c r="D19" i="19"/>
  <c r="C19" i="19"/>
  <c r="B19" i="19"/>
  <c r="A19" i="19"/>
  <c r="D18" i="19"/>
  <c r="C18" i="19"/>
  <c r="B18" i="19"/>
  <c r="A18" i="19"/>
  <c r="D21" i="12"/>
  <c r="J21" i="12" s="1"/>
  <c r="L21" i="12" s="1"/>
  <c r="M21" i="12" s="1"/>
  <c r="C21" i="12"/>
  <c r="I21" i="12" s="1"/>
  <c r="A21" i="12"/>
  <c r="D20" i="12"/>
  <c r="J20" i="12" s="1"/>
  <c r="L20" i="12" s="1"/>
  <c r="M20" i="12" s="1"/>
  <c r="C20" i="12"/>
  <c r="I20" i="12" s="1"/>
  <c r="A20" i="12"/>
  <c r="D19" i="12"/>
  <c r="J19" i="12" s="1"/>
  <c r="L19" i="12" s="1"/>
  <c r="M19" i="12" s="1"/>
  <c r="C19" i="12"/>
  <c r="I19" i="12" s="1"/>
  <c r="A19" i="12"/>
  <c r="D18" i="12"/>
  <c r="F18" i="12" s="1"/>
  <c r="G18" i="12" s="1"/>
  <c r="C18" i="12"/>
  <c r="I18" i="12" s="1"/>
  <c r="A18" i="12"/>
  <c r="D17" i="12"/>
  <c r="J17" i="12" s="1"/>
  <c r="L17" i="12" s="1"/>
  <c r="M17" i="12" s="1"/>
  <c r="C17" i="12"/>
  <c r="I17" i="12" s="1"/>
  <c r="A17" i="12"/>
  <c r="C22" i="5"/>
  <c r="E22" i="5" s="1"/>
  <c r="F22" i="5" s="1"/>
  <c r="B22" i="5"/>
  <c r="H22" i="5" s="1"/>
  <c r="A22" i="5"/>
  <c r="C21" i="5"/>
  <c r="E21" i="5" s="1"/>
  <c r="F21" i="5" s="1"/>
  <c r="B21" i="5"/>
  <c r="H21" i="5" s="1"/>
  <c r="A21" i="5"/>
  <c r="C20" i="5"/>
  <c r="I20" i="5" s="1"/>
  <c r="L20" i="5" s="1"/>
  <c r="M20" i="5" s="1"/>
  <c r="B20" i="5"/>
  <c r="H20" i="5" s="1"/>
  <c r="A20" i="5"/>
  <c r="C19" i="5"/>
  <c r="I19" i="5" s="1"/>
  <c r="L19" i="5" s="1"/>
  <c r="M19" i="5" s="1"/>
  <c r="B19" i="5"/>
  <c r="H19" i="5" s="1"/>
  <c r="A19" i="5"/>
  <c r="C18" i="5"/>
  <c r="E18" i="5" s="1"/>
  <c r="F18" i="5" s="1"/>
  <c r="B18" i="5"/>
  <c r="H18" i="5" s="1"/>
  <c r="A18" i="5"/>
  <c r="E20" i="8"/>
  <c r="D20" i="8"/>
  <c r="C20" i="8"/>
  <c r="B20" i="8"/>
  <c r="A20" i="8"/>
  <c r="E19" i="8"/>
  <c r="D19" i="8"/>
  <c r="C19" i="8"/>
  <c r="B19" i="8"/>
  <c r="A19" i="8"/>
  <c r="E18" i="8"/>
  <c r="D18" i="8"/>
  <c r="C18" i="8"/>
  <c r="B18" i="8"/>
  <c r="A18" i="8"/>
  <c r="E17" i="8"/>
  <c r="D17" i="8"/>
  <c r="C17" i="8"/>
  <c r="B17" i="8"/>
  <c r="A17" i="8"/>
  <c r="E16" i="8"/>
  <c r="D16" i="8"/>
  <c r="C16" i="8"/>
  <c r="B16" i="8"/>
  <c r="A16" i="8"/>
  <c r="B24" i="13"/>
  <c r="A24" i="13"/>
  <c r="B23" i="13"/>
  <c r="A23" i="13"/>
  <c r="B22" i="13"/>
  <c r="A22" i="13"/>
  <c r="B21" i="13"/>
  <c r="A21" i="13"/>
  <c r="B20" i="13"/>
  <c r="A20" i="13"/>
  <c r="K21" i="27"/>
  <c r="D21" i="27"/>
  <c r="J21" i="27" s="1"/>
  <c r="C21" i="27"/>
  <c r="B21" i="27"/>
  <c r="A21" i="27"/>
  <c r="K20" i="27"/>
  <c r="D20" i="27"/>
  <c r="J20" i="27" s="1"/>
  <c r="C20" i="27"/>
  <c r="B20" i="27"/>
  <c r="A20" i="27"/>
  <c r="K19" i="27"/>
  <c r="D19" i="27"/>
  <c r="J19" i="27" s="1"/>
  <c r="C19" i="27"/>
  <c r="B19" i="27"/>
  <c r="A19" i="27"/>
  <c r="K18" i="27"/>
  <c r="D18" i="27"/>
  <c r="J18" i="27" s="1"/>
  <c r="C18" i="27"/>
  <c r="B18" i="27"/>
  <c r="A18" i="27"/>
  <c r="K17" i="27"/>
  <c r="D17" i="27"/>
  <c r="J17" i="27" s="1"/>
  <c r="C17" i="27"/>
  <c r="B17" i="27"/>
  <c r="A17" i="27"/>
  <c r="K21" i="17"/>
  <c r="D21" i="17"/>
  <c r="J21" i="17" s="1"/>
  <c r="C21" i="17"/>
  <c r="B21" i="17"/>
  <c r="A21" i="17"/>
  <c r="K20" i="17"/>
  <c r="D20" i="17"/>
  <c r="J20" i="17" s="1"/>
  <c r="C20" i="17"/>
  <c r="B20" i="17"/>
  <c r="A20" i="17"/>
  <c r="K19" i="17"/>
  <c r="D19" i="17"/>
  <c r="J19" i="17" s="1"/>
  <c r="C19" i="17"/>
  <c r="B19" i="17"/>
  <c r="A19" i="17"/>
  <c r="K18" i="17"/>
  <c r="D18" i="17"/>
  <c r="J18" i="17" s="1"/>
  <c r="C18" i="17"/>
  <c r="B18" i="17"/>
  <c r="A18" i="17"/>
  <c r="K17" i="17"/>
  <c r="D17" i="17"/>
  <c r="J17" i="17" s="1"/>
  <c r="C17" i="17"/>
  <c r="B17" i="17"/>
  <c r="A17" i="17"/>
  <c r="C23" i="14"/>
  <c r="B23" i="14"/>
  <c r="A23" i="14"/>
  <c r="C22" i="14"/>
  <c r="B22" i="14"/>
  <c r="A22" i="14"/>
  <c r="C21" i="14"/>
  <c r="B21" i="14"/>
  <c r="A21" i="14"/>
  <c r="C20" i="14"/>
  <c r="B20" i="14"/>
  <c r="A20" i="14"/>
  <c r="C19" i="14"/>
  <c r="B19" i="14"/>
  <c r="A19" i="14"/>
  <c r="F25" i="11"/>
  <c r="H25" i="11" s="1"/>
  <c r="I25" i="11" s="1"/>
  <c r="B25" i="11"/>
  <c r="A25" i="11"/>
  <c r="F24" i="11"/>
  <c r="H24" i="11" s="1"/>
  <c r="B24" i="11"/>
  <c r="A24" i="11"/>
  <c r="F23" i="11"/>
  <c r="H23" i="11" s="1"/>
  <c r="J23" i="11" s="1"/>
  <c r="B23" i="11"/>
  <c r="A23" i="11"/>
  <c r="F22" i="11"/>
  <c r="H22" i="11" s="1"/>
  <c r="B22" i="11"/>
  <c r="A22" i="11"/>
  <c r="F21" i="11"/>
  <c r="H21" i="11" s="1"/>
  <c r="B21" i="11"/>
  <c r="A21" i="11"/>
  <c r="C31" i="29"/>
  <c r="B31" i="29"/>
  <c r="A31" i="29"/>
  <c r="C30" i="29"/>
  <c r="B30" i="29"/>
  <c r="A30" i="29"/>
  <c r="C29" i="29"/>
  <c r="B29" i="29"/>
  <c r="A29" i="29"/>
  <c r="C28" i="29"/>
  <c r="B28" i="29"/>
  <c r="A28" i="29"/>
  <c r="C27" i="29"/>
  <c r="C48" i="29" s="1"/>
  <c r="B27" i="29"/>
  <c r="B48" i="29" s="1"/>
  <c r="A27" i="29"/>
  <c r="A48" i="29" s="1"/>
  <c r="C26" i="29"/>
  <c r="C47" i="29" s="1"/>
  <c r="B26" i="29"/>
  <c r="B47" i="29" s="1"/>
  <c r="A26" i="29"/>
  <c r="A47" i="29" s="1"/>
  <c r="C25" i="29"/>
  <c r="C46" i="29" s="1"/>
  <c r="B25" i="29"/>
  <c r="B46" i="29" s="1"/>
  <c r="A25" i="29"/>
  <c r="A46" i="29" s="1"/>
  <c r="C24" i="29"/>
  <c r="C45" i="29" s="1"/>
  <c r="B24" i="29"/>
  <c r="B45" i="29" s="1"/>
  <c r="A24" i="29"/>
  <c r="A45" i="29" s="1"/>
  <c r="C23" i="29"/>
  <c r="C44" i="29" s="1"/>
  <c r="B23" i="29"/>
  <c r="B44" i="29" s="1"/>
  <c r="A23" i="29"/>
  <c r="A44" i="29" s="1"/>
  <c r="E46" i="3"/>
  <c r="D46" i="3"/>
  <c r="D27" i="29" s="1"/>
  <c r="F27" i="29" s="1"/>
  <c r="E45" i="3"/>
  <c r="E44" i="3"/>
  <c r="D44" i="3"/>
  <c r="E20" i="19" s="1"/>
  <c r="E43" i="3"/>
  <c r="D43" i="3"/>
  <c r="E19" i="19" s="1"/>
  <c r="E42" i="3"/>
  <c r="D42" i="3"/>
  <c r="G24" i="13"/>
  <c r="F27" i="3"/>
  <c r="G23" i="13"/>
  <c r="F26" i="3"/>
  <c r="E46" i="29"/>
  <c r="F25" i="3"/>
  <c r="E45" i="29"/>
  <c r="F24" i="3"/>
  <c r="F23" i="3"/>
  <c r="C50" i="3"/>
  <c r="B50" i="3"/>
  <c r="A50" i="3"/>
  <c r="C49" i="3"/>
  <c r="B49" i="3"/>
  <c r="A49" i="3"/>
  <c r="C48" i="3"/>
  <c r="B48" i="3"/>
  <c r="A48" i="3"/>
  <c r="C47" i="3"/>
  <c r="B47" i="3"/>
  <c r="A47" i="3"/>
  <c r="C46" i="3"/>
  <c r="B46" i="3"/>
  <c r="A46" i="3"/>
  <c r="C45" i="3"/>
  <c r="B45" i="3"/>
  <c r="A45" i="3"/>
  <c r="C44" i="3"/>
  <c r="B44" i="3"/>
  <c r="A44" i="3"/>
  <c r="C43" i="3"/>
  <c r="B43" i="3"/>
  <c r="A43" i="3"/>
  <c r="C42" i="3"/>
  <c r="B42" i="3"/>
  <c r="A42" i="3"/>
  <c r="F17" i="25" l="1"/>
  <c r="I17" i="25"/>
  <c r="F21" i="25"/>
  <c r="I21" i="25"/>
  <c r="F18" i="25"/>
  <c r="I18" i="25"/>
  <c r="F20" i="25"/>
  <c r="I20" i="25"/>
  <c r="F19" i="25"/>
  <c r="I19" i="25"/>
  <c r="J24" i="11"/>
  <c r="I23" i="11"/>
  <c r="K23" i="11" s="1"/>
  <c r="L23" i="11" s="1"/>
  <c r="I21" i="11"/>
  <c r="J25" i="11"/>
  <c r="K25" i="11" s="1"/>
  <c r="L25" i="11" s="1"/>
  <c r="F19" i="17"/>
  <c r="J20" i="19" s="1"/>
  <c r="E47" i="29"/>
  <c r="G21" i="13"/>
  <c r="F20" i="13"/>
  <c r="H20" i="13" s="1"/>
  <c r="I20" i="13" s="1"/>
  <c r="D44" i="29"/>
  <c r="E48" i="29"/>
  <c r="F20" i="27"/>
  <c r="F18" i="17"/>
  <c r="F20" i="17"/>
  <c r="J21" i="19" s="1"/>
  <c r="F18" i="27"/>
  <c r="G20" i="13"/>
  <c r="H44" i="3"/>
  <c r="I44" i="3" s="1"/>
  <c r="E44" i="29"/>
  <c r="G22" i="13"/>
  <c r="H45" i="3"/>
  <c r="I45" i="3" s="1"/>
  <c r="F21" i="27"/>
  <c r="F19" i="12"/>
  <c r="G19" i="12" s="1"/>
  <c r="E19" i="5"/>
  <c r="F19" i="5" s="1"/>
  <c r="F17" i="27"/>
  <c r="F21" i="17"/>
  <c r="F21" i="12"/>
  <c r="G21" i="12" s="1"/>
  <c r="F19" i="27"/>
  <c r="E20" i="5"/>
  <c r="F20" i="5" s="1"/>
  <c r="F17" i="17"/>
  <c r="F17" i="12"/>
  <c r="G17" i="12" s="1"/>
  <c r="E21" i="19"/>
  <c r="D26" i="29"/>
  <c r="F26" i="29" s="1"/>
  <c r="D23" i="29"/>
  <c r="F23" i="29" s="1"/>
  <c r="D24" i="29"/>
  <c r="F24" i="29" s="1"/>
  <c r="D25" i="29"/>
  <c r="F25" i="29" s="1"/>
  <c r="E18" i="19"/>
  <c r="E22" i="19"/>
  <c r="F20" i="12"/>
  <c r="G20" i="12" s="1"/>
  <c r="J18" i="12"/>
  <c r="L18" i="12" s="1"/>
  <c r="M18" i="12" s="1"/>
  <c r="I21" i="5"/>
  <c r="L21" i="5" s="1"/>
  <c r="M21" i="5" s="1"/>
  <c r="I18" i="5"/>
  <c r="L18" i="5" s="1"/>
  <c r="M18" i="5" s="1"/>
  <c r="I22" i="5"/>
  <c r="L22" i="5" s="1"/>
  <c r="M22" i="5" s="1"/>
  <c r="H17" i="27"/>
  <c r="H18" i="27"/>
  <c r="H19" i="27"/>
  <c r="H20" i="27"/>
  <c r="H21" i="27"/>
  <c r="H17" i="17"/>
  <c r="H18" i="17"/>
  <c r="H19" i="17"/>
  <c r="H20" i="17"/>
  <c r="H21" i="17"/>
  <c r="J21" i="11"/>
  <c r="I22" i="11"/>
  <c r="I24" i="11"/>
  <c r="J22" i="11"/>
  <c r="H42" i="3"/>
  <c r="I42" i="3" s="1"/>
  <c r="K24" i="11" l="1"/>
  <c r="L24" i="11" s="1"/>
  <c r="K21" i="11"/>
  <c r="L21" i="11" s="1"/>
  <c r="K22" i="11"/>
  <c r="L22" i="11" s="1"/>
  <c r="I20" i="19"/>
  <c r="I21" i="19"/>
  <c r="D46" i="29"/>
  <c r="F46" i="29" s="1"/>
  <c r="F22" i="13"/>
  <c r="H43" i="3"/>
  <c r="F21" i="13"/>
  <c r="D45" i="29"/>
  <c r="F45" i="29" s="1"/>
  <c r="J20" i="13"/>
  <c r="D47" i="29"/>
  <c r="F47" i="29" s="1"/>
  <c r="F23" i="13"/>
  <c r="F24" i="13"/>
  <c r="D48" i="29"/>
  <c r="F48" i="29" s="1"/>
  <c r="H46" i="3"/>
  <c r="I46" i="3" s="1"/>
  <c r="F44" i="29"/>
  <c r="J45" i="3"/>
  <c r="J19" i="19"/>
  <c r="I19" i="19"/>
  <c r="J42" i="3"/>
  <c r="J44" i="3"/>
  <c r="J21" i="13" l="1"/>
  <c r="H21" i="13"/>
  <c r="I21" i="13" s="1"/>
  <c r="J46" i="3"/>
  <c r="I43" i="3"/>
  <c r="J43" i="3"/>
  <c r="J24" i="13"/>
  <c r="H24" i="13"/>
  <c r="I24" i="13" s="1"/>
  <c r="J22" i="13"/>
  <c r="H22" i="13"/>
  <c r="I22" i="13" s="1"/>
  <c r="H23" i="13"/>
  <c r="I23" i="13" s="1"/>
  <c r="J23" i="13"/>
  <c r="J22" i="19"/>
  <c r="I22" i="19"/>
  <c r="J18" i="19"/>
  <c r="I18" i="19"/>
  <c r="G30" i="8"/>
  <c r="G29" i="8"/>
  <c r="G28" i="8"/>
  <c r="E30" i="20" l="1"/>
  <c r="E29" i="20"/>
  <c r="E28" i="20"/>
  <c r="E27" i="20"/>
  <c r="F28" i="13"/>
  <c r="E47" i="3" l="1"/>
  <c r="G25" i="13"/>
  <c r="G19" i="13"/>
  <c r="G26" i="13"/>
  <c r="G27" i="13"/>
  <c r="G28" i="13"/>
  <c r="D48" i="3"/>
  <c r="D29" i="29" s="1"/>
  <c r="F29" i="29" s="1"/>
  <c r="F27" i="13" l="1"/>
  <c r="F26" i="13"/>
  <c r="F25" i="13"/>
  <c r="F19" i="13"/>
  <c r="A20" i="11"/>
  <c r="D25" i="27" l="1"/>
  <c r="D24" i="27"/>
  <c r="D23" i="27"/>
  <c r="D22" i="27"/>
  <c r="C30" i="20"/>
  <c r="B30" i="20"/>
  <c r="A30" i="20"/>
  <c r="C29" i="20"/>
  <c r="B29" i="20"/>
  <c r="A29" i="20"/>
  <c r="C28" i="20"/>
  <c r="B28" i="20"/>
  <c r="A28" i="20"/>
  <c r="C27" i="20"/>
  <c r="B27" i="20"/>
  <c r="A27" i="20"/>
  <c r="C21" i="20"/>
  <c r="B21" i="20"/>
  <c r="A21" i="20"/>
  <c r="D25" i="17"/>
  <c r="D24" i="17"/>
  <c r="D23" i="17"/>
  <c r="D22" i="17"/>
  <c r="E24" i="19"/>
  <c r="D26" i="19"/>
  <c r="D25" i="19"/>
  <c r="D24" i="19"/>
  <c r="D23" i="19"/>
  <c r="C26" i="19"/>
  <c r="B26" i="19"/>
  <c r="A26" i="19"/>
  <c r="C25" i="19"/>
  <c r="B25" i="19"/>
  <c r="A25" i="19"/>
  <c r="C24" i="19"/>
  <c r="B24" i="19"/>
  <c r="A24" i="19"/>
  <c r="C23" i="19"/>
  <c r="B23" i="19"/>
  <c r="A23" i="19"/>
  <c r="C17" i="19"/>
  <c r="B17" i="19"/>
  <c r="A17" i="19"/>
  <c r="A25" i="12"/>
  <c r="A24" i="12"/>
  <c r="A23" i="12"/>
  <c r="A22" i="12"/>
  <c r="C25" i="12"/>
  <c r="I25" i="12" s="1"/>
  <c r="C24" i="12"/>
  <c r="I24" i="12" s="1"/>
  <c r="C23" i="12"/>
  <c r="I23" i="12" s="1"/>
  <c r="C22" i="12"/>
  <c r="I22" i="12" s="1"/>
  <c r="C16" i="12"/>
  <c r="I16" i="12" s="1"/>
  <c r="D25" i="12"/>
  <c r="D24" i="12"/>
  <c r="D23" i="12"/>
  <c r="D22" i="12"/>
  <c r="A16" i="12"/>
  <c r="C26" i="5"/>
  <c r="B26" i="5"/>
  <c r="H26" i="5" s="1"/>
  <c r="A26" i="5"/>
  <c r="C25" i="5"/>
  <c r="B25" i="5"/>
  <c r="H25" i="5" s="1"/>
  <c r="A25" i="5"/>
  <c r="C24" i="5"/>
  <c r="B24" i="5"/>
  <c r="H24" i="5" s="1"/>
  <c r="A24" i="5"/>
  <c r="C23" i="5"/>
  <c r="B23" i="5"/>
  <c r="H23" i="5" s="1"/>
  <c r="A23" i="5"/>
  <c r="B17" i="5"/>
  <c r="H17" i="5" s="1"/>
  <c r="A17" i="5"/>
  <c r="D24" i="8"/>
  <c r="D23" i="8"/>
  <c r="D22" i="8"/>
  <c r="D21" i="8"/>
  <c r="D15" i="8"/>
  <c r="D25" i="25" l="1"/>
  <c r="I25" i="25" s="1"/>
  <c r="D24" i="25"/>
  <c r="I24" i="25" s="1"/>
  <c r="D23" i="25"/>
  <c r="I23" i="25" s="1"/>
  <c r="D22" i="25"/>
  <c r="I22" i="25" s="1"/>
  <c r="C25" i="25"/>
  <c r="B25" i="25"/>
  <c r="C24" i="25"/>
  <c r="B24" i="25"/>
  <c r="C23" i="25"/>
  <c r="B23" i="25"/>
  <c r="C22" i="25"/>
  <c r="B22" i="25"/>
  <c r="C16" i="25"/>
  <c r="B16" i="25"/>
  <c r="C24" i="8"/>
  <c r="B24" i="8"/>
  <c r="A24" i="8"/>
  <c r="C23" i="8"/>
  <c r="B23" i="8"/>
  <c r="A23" i="8"/>
  <c r="C22" i="8"/>
  <c r="B22" i="8"/>
  <c r="A22" i="8"/>
  <c r="A21" i="8"/>
  <c r="B21" i="8"/>
  <c r="C21" i="8"/>
  <c r="C15" i="8"/>
  <c r="B15" i="8"/>
  <c r="A15" i="8"/>
  <c r="B28" i="13"/>
  <c r="A28" i="13"/>
  <c r="B27" i="13"/>
  <c r="A27" i="13"/>
  <c r="B26" i="13"/>
  <c r="A26" i="13"/>
  <c r="B25" i="13"/>
  <c r="A25" i="13"/>
  <c r="B19" i="13"/>
  <c r="A19" i="13"/>
  <c r="C25" i="27"/>
  <c r="B25" i="27"/>
  <c r="A25" i="27"/>
  <c r="C24" i="27"/>
  <c r="B24" i="27"/>
  <c r="A24" i="27"/>
  <c r="C23" i="27"/>
  <c r="B23" i="27"/>
  <c r="A23" i="27"/>
  <c r="C22" i="27"/>
  <c r="B22" i="27"/>
  <c r="A22" i="27"/>
  <c r="C16" i="27"/>
  <c r="B16" i="27"/>
  <c r="A16" i="27"/>
  <c r="C25" i="17"/>
  <c r="B25" i="17"/>
  <c r="A25" i="17"/>
  <c r="C24" i="17"/>
  <c r="B24" i="17"/>
  <c r="A24" i="17"/>
  <c r="C23" i="17"/>
  <c r="B23" i="17"/>
  <c r="A23" i="17"/>
  <c r="C22" i="17"/>
  <c r="B22" i="17"/>
  <c r="A22" i="17"/>
  <c r="C16" i="17"/>
  <c r="B16" i="17"/>
  <c r="A16" i="17"/>
  <c r="C27" i="14" l="1"/>
  <c r="B27" i="14"/>
  <c r="A27" i="14"/>
  <c r="C26" i="14"/>
  <c r="B26" i="14"/>
  <c r="A26" i="14"/>
  <c r="C25" i="14"/>
  <c r="B25" i="14"/>
  <c r="A25" i="14"/>
  <c r="C24" i="14"/>
  <c r="B24" i="14"/>
  <c r="A24" i="14"/>
  <c r="C18" i="14"/>
  <c r="B18" i="14"/>
  <c r="A18" i="14"/>
  <c r="B27" i="11"/>
  <c r="A27" i="11"/>
  <c r="B26" i="11"/>
  <c r="A26" i="11"/>
  <c r="E48" i="3"/>
  <c r="D50" i="29"/>
  <c r="E50" i="29"/>
  <c r="F29" i="3"/>
  <c r="H48" i="3" l="1"/>
  <c r="I48" i="3" s="1"/>
  <c r="B29" i="11"/>
  <c r="A29" i="11"/>
  <c r="B28" i="11"/>
  <c r="A28" i="11"/>
  <c r="B20" i="11"/>
  <c r="C52" i="29"/>
  <c r="B52" i="29"/>
  <c r="A52" i="29"/>
  <c r="C51" i="29"/>
  <c r="B51" i="29"/>
  <c r="A51" i="29"/>
  <c r="C50" i="29"/>
  <c r="B50" i="29"/>
  <c r="A50" i="29"/>
  <c r="C49" i="29"/>
  <c r="B49" i="29"/>
  <c r="A49" i="29"/>
  <c r="C22" i="29"/>
  <c r="C43" i="29" s="1"/>
  <c r="B22" i="29"/>
  <c r="B43" i="29" s="1"/>
  <c r="A22" i="29"/>
  <c r="A43" i="29" s="1"/>
  <c r="J48" i="3" l="1"/>
  <c r="G64" i="10"/>
  <c r="K22" i="17"/>
  <c r="K16" i="17"/>
  <c r="B61" i="29"/>
  <c r="I30" i="27"/>
  <c r="G30" i="27"/>
  <c r="E30" i="27"/>
  <c r="I29" i="27"/>
  <c r="G29" i="27"/>
  <c r="E29" i="27"/>
  <c r="K25" i="27"/>
  <c r="H25" i="27"/>
  <c r="K24" i="27"/>
  <c r="J24" i="27"/>
  <c r="K23" i="27"/>
  <c r="F23" i="27"/>
  <c r="K22" i="27"/>
  <c r="K16" i="27"/>
  <c r="D16" i="27"/>
  <c r="J16" i="27" s="1"/>
  <c r="K25" i="17"/>
  <c r="K24" i="17"/>
  <c r="K23" i="17"/>
  <c r="J30" i="8"/>
  <c r="I30" i="8"/>
  <c r="A24" i="24" l="1"/>
  <c r="A15" i="24"/>
  <c r="G26" i="20"/>
  <c r="H26" i="20" s="1"/>
  <c r="G22" i="20"/>
  <c r="H22" i="20" s="1"/>
  <c r="G24" i="20"/>
  <c r="H24" i="20" s="1"/>
  <c r="G23" i="20"/>
  <c r="H23" i="20" s="1"/>
  <c r="G25" i="20"/>
  <c r="H25" i="20" s="1"/>
  <c r="D48" i="10"/>
  <c r="F25" i="27"/>
  <c r="J25" i="27"/>
  <c r="F22" i="27"/>
  <c r="J22" i="27"/>
  <c r="H24" i="27"/>
  <c r="K30" i="27"/>
  <c r="D16" i="24" s="1"/>
  <c r="H23" i="27"/>
  <c r="K29" i="27"/>
  <c r="D15" i="24" s="1"/>
  <c r="F16" i="27"/>
  <c r="J23" i="27"/>
  <c r="F24" i="27"/>
  <c r="D29" i="27"/>
  <c r="D30" i="27"/>
  <c r="H16" i="27"/>
  <c r="K29" i="17"/>
  <c r="C15" i="24" s="1"/>
  <c r="K30" i="17"/>
  <c r="C16" i="24" s="1"/>
  <c r="J30" i="27" l="1"/>
  <c r="J29" i="27"/>
  <c r="F30" i="27"/>
  <c r="F29" i="27"/>
  <c r="H30" i="27"/>
  <c r="H29" i="27"/>
  <c r="I30" i="17" l="1"/>
  <c r="I29" i="17"/>
  <c r="H24" i="24" l="1"/>
  <c r="D58" i="10"/>
  <c r="G31" i="10" l="1"/>
  <c r="F23" i="25"/>
  <c r="D16" i="25"/>
  <c r="I16" i="25" s="1"/>
  <c r="D25" i="10"/>
  <c r="I30" i="25" l="1"/>
  <c r="I29" i="25"/>
  <c r="G28" i="20"/>
  <c r="G21" i="20"/>
  <c r="G27" i="20"/>
  <c r="G29" i="20"/>
  <c r="G30" i="20"/>
  <c r="F22" i="25"/>
  <c r="F25" i="25"/>
  <c r="F16" i="25"/>
  <c r="F24" i="25"/>
  <c r="H30" i="19"/>
  <c r="G30" i="19"/>
  <c r="H29" i="19"/>
  <c r="G29" i="19"/>
  <c r="D17" i="19"/>
  <c r="G30" i="17"/>
  <c r="G29" i="17"/>
  <c r="J25" i="17"/>
  <c r="J24" i="17"/>
  <c r="J23" i="17"/>
  <c r="J22" i="17"/>
  <c r="D16" i="17"/>
  <c r="J16" i="17" s="1"/>
  <c r="E30" i="17"/>
  <c r="E29" i="17"/>
  <c r="I31" i="14"/>
  <c r="I30" i="14"/>
  <c r="I29" i="8"/>
  <c r="I28" i="8"/>
  <c r="F29" i="11"/>
  <c r="H29" i="11" s="1"/>
  <c r="F28" i="11"/>
  <c r="H28" i="11" s="1"/>
  <c r="F27" i="11"/>
  <c r="H27" i="11" s="1"/>
  <c r="F26" i="11"/>
  <c r="H26" i="11" s="1"/>
  <c r="F20" i="11"/>
  <c r="H20" i="11" s="1"/>
  <c r="E24" i="8"/>
  <c r="E23" i="8"/>
  <c r="E22" i="8"/>
  <c r="E21" i="8"/>
  <c r="E15" i="8"/>
  <c r="I26" i="5"/>
  <c r="L26" i="5" s="1"/>
  <c r="I25" i="5"/>
  <c r="L25" i="5" s="1"/>
  <c r="I24" i="5"/>
  <c r="L24" i="5" s="1"/>
  <c r="I23" i="5"/>
  <c r="L23" i="5" s="1"/>
  <c r="C17" i="5"/>
  <c r="I17" i="5" s="1"/>
  <c r="L17" i="5" s="1"/>
  <c r="J36" i="12"/>
  <c r="D23" i="10" s="1"/>
  <c r="I36" i="12"/>
  <c r="H35" i="5"/>
  <c r="G35" i="5"/>
  <c r="H31" i="14"/>
  <c r="H30" i="14"/>
  <c r="J28" i="13"/>
  <c r="J27" i="13"/>
  <c r="J26" i="13"/>
  <c r="J25" i="13"/>
  <c r="J19" i="13"/>
  <c r="H28" i="13"/>
  <c r="I28" i="13" s="1"/>
  <c r="H27" i="13"/>
  <c r="I27" i="13" s="1"/>
  <c r="H26" i="13"/>
  <c r="I26" i="13" s="1"/>
  <c r="H25" i="13"/>
  <c r="I25" i="13" s="1"/>
  <c r="H19" i="13"/>
  <c r="I19" i="13" s="1"/>
  <c r="K30" i="12"/>
  <c r="E30" i="12"/>
  <c r="K29" i="12"/>
  <c r="E29" i="12"/>
  <c r="J25" i="12"/>
  <c r="F23" i="12"/>
  <c r="G23" i="12" s="1"/>
  <c r="J22" i="12"/>
  <c r="D16" i="12"/>
  <c r="J16" i="12" s="1"/>
  <c r="J33" i="13" l="1"/>
  <c r="I33" i="13"/>
  <c r="J27" i="11"/>
  <c r="I27" i="11"/>
  <c r="J26" i="11"/>
  <c r="I26" i="11"/>
  <c r="J30" i="17"/>
  <c r="J29" i="17"/>
  <c r="J32" i="13"/>
  <c r="I32" i="13"/>
  <c r="J23" i="12"/>
  <c r="L25" i="12"/>
  <c r="M25" i="12" s="1"/>
  <c r="L16" i="12"/>
  <c r="F22" i="17"/>
  <c r="H25" i="17"/>
  <c r="F25" i="17"/>
  <c r="H23" i="17"/>
  <c r="F23" i="17"/>
  <c r="H16" i="17"/>
  <c r="F16" i="17"/>
  <c r="H24" i="17"/>
  <c r="F24" i="17"/>
  <c r="L22" i="12"/>
  <c r="M22" i="12" s="1"/>
  <c r="J24" i="12"/>
  <c r="F30" i="25"/>
  <c r="F29" i="25"/>
  <c r="D29" i="12"/>
  <c r="I31" i="5"/>
  <c r="I30" i="5"/>
  <c r="F16" i="12"/>
  <c r="G16" i="12" s="1"/>
  <c r="F24" i="12"/>
  <c r="G24" i="12" s="1"/>
  <c r="F25" i="12"/>
  <c r="G25" i="12" s="1"/>
  <c r="D30" i="12"/>
  <c r="F22" i="12"/>
  <c r="G22" i="12" s="1"/>
  <c r="H21" i="20" l="1"/>
  <c r="J26" i="19"/>
  <c r="H30" i="20"/>
  <c r="H27" i="20"/>
  <c r="I23" i="19"/>
  <c r="J25" i="19"/>
  <c r="H29" i="20"/>
  <c r="H28" i="20"/>
  <c r="J24" i="19"/>
  <c r="K26" i="11"/>
  <c r="L26" i="11" s="1"/>
  <c r="K27" i="11"/>
  <c r="L27" i="11" s="1"/>
  <c r="L23" i="12"/>
  <c r="M23" i="12" s="1"/>
  <c r="F29" i="17"/>
  <c r="F30" i="17"/>
  <c r="L24" i="12"/>
  <c r="M24" i="12" s="1"/>
  <c r="H29" i="17"/>
  <c r="H30" i="17"/>
  <c r="J30" i="12"/>
  <c r="J29" i="12"/>
  <c r="G29" i="12"/>
  <c r="F30" i="12"/>
  <c r="F29" i="12"/>
  <c r="M16" i="12"/>
  <c r="G30" i="12"/>
  <c r="J23" i="19" l="1"/>
  <c r="I26" i="19"/>
  <c r="I25" i="19"/>
  <c r="I24" i="19"/>
  <c r="H34" i="20"/>
  <c r="H33" i="20"/>
  <c r="L30" i="12"/>
  <c r="L29" i="12"/>
  <c r="J17" i="19"/>
  <c r="F30" i="19"/>
  <c r="F29" i="19"/>
  <c r="I17" i="19"/>
  <c r="M30" i="12"/>
  <c r="M29" i="12"/>
  <c r="J30" i="19" l="1"/>
  <c r="J29" i="19"/>
  <c r="I30" i="19"/>
  <c r="I29" i="19"/>
  <c r="J31" i="5"/>
  <c r="J30" i="5"/>
  <c r="J29" i="11"/>
  <c r="J28" i="11"/>
  <c r="J20" i="11"/>
  <c r="I29" i="11"/>
  <c r="I28" i="11"/>
  <c r="I20" i="11"/>
  <c r="F56" i="10"/>
  <c r="C58" i="10"/>
  <c r="C56" i="10"/>
  <c r="F58" i="10"/>
  <c r="F25" i="10"/>
  <c r="C25" i="10"/>
  <c r="F23" i="10"/>
  <c r="C23" i="10"/>
  <c r="K20" i="11" l="1"/>
  <c r="L20" i="11" s="1"/>
  <c r="K29" i="11"/>
  <c r="L29" i="11" s="1"/>
  <c r="K28" i="11"/>
  <c r="L28" i="11" s="1"/>
  <c r="G25" i="10"/>
  <c r="C27" i="10"/>
  <c r="C60" i="10"/>
  <c r="G23" i="10"/>
  <c r="G56" i="10"/>
  <c r="G58" i="10"/>
  <c r="E49" i="29"/>
  <c r="D52" i="29" l="1"/>
  <c r="E52" i="29"/>
  <c r="D49" i="29"/>
  <c r="F49" i="29" s="1"/>
  <c r="D51" i="29"/>
  <c r="E51" i="29"/>
  <c r="D43" i="29"/>
  <c r="E43" i="29"/>
  <c r="L33" i="11"/>
  <c r="L34" i="11"/>
  <c r="G27" i="10"/>
  <c r="G60" i="10"/>
  <c r="M23" i="5"/>
  <c r="M24" i="5"/>
  <c r="M25" i="5"/>
  <c r="M26" i="5"/>
  <c r="F51" i="29" l="1"/>
  <c r="F50" i="29"/>
  <c r="F52" i="29"/>
  <c r="F43" i="29"/>
  <c r="M17" i="5"/>
  <c r="L30" i="5"/>
  <c r="L31" i="5"/>
  <c r="F53" i="29" l="1"/>
  <c r="D61" i="29" s="1"/>
  <c r="M31" i="5"/>
  <c r="M30" i="5"/>
  <c r="E49" i="3"/>
  <c r="C30" i="5" l="1"/>
  <c r="C31" i="5"/>
  <c r="E17" i="5"/>
  <c r="D50" i="3" l="1"/>
  <c r="D31" i="29" s="1"/>
  <c r="F31" i="29" s="1"/>
  <c r="D49" i="3"/>
  <c r="D30" i="29" s="1"/>
  <c r="F30" i="29" s="1"/>
  <c r="D47" i="3"/>
  <c r="D28" i="29" s="1"/>
  <c r="F28" i="29" s="1"/>
  <c r="E25" i="19" l="1"/>
  <c r="E26" i="19"/>
  <c r="E23" i="19"/>
  <c r="H49" i="3"/>
  <c r="J49" i="3" s="1"/>
  <c r="H47" i="3"/>
  <c r="J47" i="3" s="1"/>
  <c r="F22" i="3" l="1"/>
  <c r="F28" i="3"/>
  <c r="F30" i="3"/>
  <c r="F31" i="3"/>
  <c r="C23" i="7" l="1"/>
  <c r="C60" i="29" s="1"/>
  <c r="C25" i="7"/>
  <c r="C61" i="29" s="1"/>
  <c r="E61" i="29" s="1"/>
  <c r="D25" i="7" l="1"/>
  <c r="J28" i="8" l="1"/>
  <c r="J29" i="8" l="1"/>
  <c r="E50" i="3" l="1"/>
  <c r="H50" i="3" s="1"/>
  <c r="J50" i="3" s="1"/>
  <c r="D41" i="3"/>
  <c r="E17" i="19" l="1"/>
  <c r="D22" i="29"/>
  <c r="F22" i="29" s="1"/>
  <c r="F32" i="29" s="1"/>
  <c r="D60" i="29" s="1"/>
  <c r="E60" i="29" s="1"/>
  <c r="E62" i="29" s="1"/>
  <c r="I50" i="3"/>
  <c r="I49" i="3"/>
  <c r="D31" i="5" l="1"/>
  <c r="D30" i="5"/>
  <c r="E41" i="3" l="1"/>
  <c r="H41" i="3" l="1"/>
  <c r="J41" i="3" s="1"/>
  <c r="I47" i="3"/>
  <c r="I41" i="3" l="1"/>
  <c r="I54" i="3" s="1"/>
  <c r="J55" i="3"/>
  <c r="C41" i="3" l="1"/>
  <c r="B41" i="3" l="1"/>
  <c r="A41" i="3"/>
  <c r="E26" i="5"/>
  <c r="F26" i="5" s="1"/>
  <c r="E25" i="5"/>
  <c r="F25" i="5" s="1"/>
  <c r="E24" i="5"/>
  <c r="F24" i="5" s="1"/>
  <c r="E23" i="5"/>
  <c r="F23" i="5" s="1"/>
  <c r="E30" i="5" l="1"/>
  <c r="J54" i="3"/>
  <c r="E31" i="5"/>
  <c r="I55" i="3"/>
  <c r="F17" i="5"/>
  <c r="F30" i="5" s="1"/>
  <c r="F23" i="7" l="1"/>
  <c r="G23" i="7" s="1"/>
  <c r="F31"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Baker, Mike A (DOR)</author>
    <author>K Reaves</author>
    <author>REVT221</author>
    <author>rev3569</author>
    <author>rev3857</author>
  </authors>
  <commentList>
    <comment ref="H22" authorId="0" shapeId="0" xr:uid="{8C155947-AB91-4CB3-8CDF-E88B2FEF42F1}">
      <text>
        <r>
          <rPr>
            <sz val="9"/>
            <color indexed="81"/>
            <rFont val="Tahoma"/>
            <family val="2"/>
          </rPr>
          <t>Page 100 of PDF, 10-K</t>
        </r>
      </text>
    </comment>
    <comment ref="I22" authorId="1" shapeId="0" xr:uid="{25B33F3F-D01F-4D4D-8949-2962CEA6D1D2}">
      <text>
        <r>
          <rPr>
            <b/>
            <sz val="9"/>
            <color indexed="81"/>
            <rFont val="Tahoma"/>
            <family val="2"/>
          </rPr>
          <t>Baker, Mike A (DOR):</t>
        </r>
        <r>
          <rPr>
            <sz val="9"/>
            <color indexed="81"/>
            <rFont val="Tahoma"/>
            <family val="2"/>
          </rPr>
          <t xml:space="preserve">
See 10K page 100</t>
        </r>
      </text>
    </comment>
    <comment ref="J22" authorId="0" shapeId="0" xr:uid="{BF9DED12-0B4F-4A8D-BD46-7F315905566C}">
      <text>
        <r>
          <rPr>
            <sz val="9"/>
            <color indexed="81"/>
            <rFont val="Tahoma"/>
            <family val="2"/>
          </rPr>
          <t>Page 94 &amp;124 of PDF, 10-K</t>
        </r>
      </text>
    </comment>
    <comment ref="H23" authorId="2" shapeId="0" xr:uid="{C1463465-0222-4A84-A0F3-5EA380E57DE1}">
      <text>
        <r>
          <rPr>
            <sz val="9"/>
            <color indexed="81"/>
            <rFont val="Tahoma"/>
            <family val="2"/>
          </rPr>
          <t>Page 171 of PDF, 10-K</t>
        </r>
      </text>
    </comment>
    <comment ref="I23" authorId="2" shapeId="0" xr:uid="{D7EEECAC-2797-4F67-82B9-BD262227647B}">
      <text>
        <r>
          <rPr>
            <sz val="9"/>
            <color indexed="81"/>
            <rFont val="Tahoma"/>
            <family val="2"/>
          </rPr>
          <t>Page 137 of 10-K</t>
        </r>
      </text>
    </comment>
    <comment ref="J23" authorId="2" shapeId="0" xr:uid="{610B1519-88AC-4F2B-B132-33AC7F2E28A5}">
      <text>
        <r>
          <rPr>
            <sz val="9"/>
            <color indexed="81"/>
            <rFont val="Tahoma"/>
            <family val="2"/>
          </rPr>
          <t>Page 171 of PDF, 10-K</t>
        </r>
      </text>
    </comment>
    <comment ref="H24" authorId="3" shapeId="0" xr:uid="{E430030A-028F-4F7C-807D-7A1D43029302}">
      <text>
        <r>
          <rPr>
            <sz val="9"/>
            <color indexed="81"/>
            <rFont val="Tahoma"/>
            <family val="2"/>
          </rPr>
          <t>Page 137 of PDF, 10-K</t>
        </r>
      </text>
    </comment>
    <comment ref="J24" authorId="3" shapeId="0" xr:uid="{C0B2093B-B324-4EC0-9313-5C8512A581DA}">
      <text>
        <r>
          <rPr>
            <sz val="9"/>
            <color indexed="81"/>
            <rFont val="Tahoma"/>
            <family val="2"/>
          </rPr>
          <t xml:space="preserve">Page 161 of PDF, 10-K
</t>
        </r>
      </text>
    </comment>
    <comment ref="H25" authorId="0" shapeId="0" xr:uid="{E3DF27DF-4FD9-4E87-A45B-8E468AB1421D}">
      <text>
        <r>
          <rPr>
            <sz val="9"/>
            <color indexed="81"/>
            <rFont val="Tahoma"/>
            <family val="2"/>
          </rPr>
          <t>Page 67 of PDF, 10-K</t>
        </r>
      </text>
    </comment>
    <comment ref="J25" authorId="0" shapeId="0" xr:uid="{F8AAE0A9-9F75-4268-B60B-7746F2D8CBAF}">
      <text>
        <r>
          <rPr>
            <sz val="9"/>
            <color indexed="81"/>
            <rFont val="Tahoma"/>
            <family val="2"/>
          </rPr>
          <t>Page 67  &amp; 68 of PDF, 10-K</t>
        </r>
      </text>
    </comment>
    <comment ref="H26" authorId="3" shapeId="0" xr:uid="{1D5398F7-486E-45AF-B18D-6B9A7DC907CC}">
      <text>
        <r>
          <rPr>
            <sz val="9"/>
            <color indexed="81"/>
            <rFont val="Tahoma"/>
            <family val="2"/>
          </rPr>
          <t>Page 76 of PDF, 10-K</t>
        </r>
      </text>
    </comment>
    <comment ref="I26" authorId="0" shapeId="0" xr:uid="{69655100-53DD-4A5D-8229-25D9DFE52830}">
      <text>
        <r>
          <rPr>
            <sz val="9"/>
            <color indexed="81"/>
            <rFont val="Tahoma"/>
            <family val="2"/>
          </rPr>
          <t>Page 76 of PDF, 10-K</t>
        </r>
      </text>
    </comment>
    <comment ref="J26" authorId="3" shapeId="0" xr:uid="{BC144985-BA81-4A12-8FE5-903DFD61F30D}">
      <text>
        <r>
          <rPr>
            <sz val="9"/>
            <color indexed="81"/>
            <rFont val="Tahoma"/>
            <family val="2"/>
          </rPr>
          <t>Page 76 of PDF, 10-K</t>
        </r>
      </text>
    </comment>
    <comment ref="H27" authorId="0" shapeId="0" xr:uid="{2D266591-836B-4ED1-A305-A9A840DB9520}">
      <text>
        <r>
          <rPr>
            <sz val="9"/>
            <color indexed="81"/>
            <rFont val="Tahoma"/>
            <family val="2"/>
          </rPr>
          <t>Page 58 of PDF, 10-K</t>
        </r>
      </text>
    </comment>
    <comment ref="J27" authorId="3" shapeId="0" xr:uid="{44418097-35A9-442E-8600-8FDA73BC77E0}">
      <text>
        <r>
          <rPr>
            <sz val="9"/>
            <color indexed="81"/>
            <rFont val="Tahoma"/>
            <family val="2"/>
          </rPr>
          <t>Page 58 of PDF, 10-K</t>
        </r>
      </text>
    </comment>
    <comment ref="H28" authorId="0" shapeId="0" xr:uid="{E60B2BCF-2978-471A-9892-FA2C700EE275}">
      <text>
        <r>
          <rPr>
            <sz val="9"/>
            <color indexed="81"/>
            <rFont val="Tahoma"/>
            <family val="2"/>
          </rPr>
          <t>Page 78 of PDF, 10-K</t>
        </r>
      </text>
    </comment>
    <comment ref="I28" authorId="0" shapeId="0" xr:uid="{736B2869-9DC5-4FDE-9BC6-7E77AE453377}">
      <text>
        <r>
          <rPr>
            <sz val="9"/>
            <color indexed="81"/>
            <rFont val="Tahoma"/>
            <family val="2"/>
          </rPr>
          <t>Page 78 of PDF, 10-K</t>
        </r>
      </text>
    </comment>
    <comment ref="J28" authorId="0" shapeId="0" xr:uid="{6E357A76-0F29-4B1E-86EB-655D5511E334}">
      <text>
        <r>
          <rPr>
            <sz val="9"/>
            <color indexed="81"/>
            <rFont val="Tahoma"/>
            <family val="2"/>
          </rPr>
          <t>Page 78 of PDF, 10-K</t>
        </r>
      </text>
    </comment>
    <comment ref="H29" authorId="0" shapeId="0" xr:uid="{8DE76412-416A-4A33-86CD-B3F2392F9535}">
      <text>
        <r>
          <rPr>
            <sz val="9"/>
            <color indexed="81"/>
            <rFont val="Tahoma"/>
            <family val="2"/>
          </rPr>
          <t>Page 54 of PDF, 10-K</t>
        </r>
      </text>
    </comment>
    <comment ref="I29" authorId="0" shapeId="0" xr:uid="{DEB16EAE-9690-4131-9088-13C027A70BE8}">
      <text>
        <r>
          <rPr>
            <sz val="9"/>
            <color indexed="81"/>
            <rFont val="Tahoma"/>
            <family val="2"/>
          </rPr>
          <t>Page 54 of PDF, 10-K</t>
        </r>
      </text>
    </comment>
    <comment ref="J29" authorId="0" shapeId="0" xr:uid="{CD037629-1052-41E4-9293-A73A0EB373F7}">
      <text>
        <r>
          <rPr>
            <sz val="9"/>
            <color indexed="81"/>
            <rFont val="Tahoma"/>
            <family val="2"/>
          </rPr>
          <t>Page 54 of PDF, 10-K</t>
        </r>
      </text>
    </comment>
    <comment ref="H30" authorId="0" shapeId="0" xr:uid="{8E170105-F833-4044-9286-CC465DCFE806}">
      <text>
        <r>
          <rPr>
            <sz val="9"/>
            <color indexed="81"/>
            <rFont val="Tahoma"/>
            <family val="2"/>
          </rPr>
          <t>Page 109 of PDF, 10-K</t>
        </r>
      </text>
    </comment>
    <comment ref="I30" authorId="0" shapeId="0" xr:uid="{6AA0BFAA-4950-4B20-854D-11D72D286A0A}">
      <text>
        <r>
          <rPr>
            <sz val="9"/>
            <color indexed="81"/>
            <rFont val="Tahoma"/>
            <family val="2"/>
          </rPr>
          <t xml:space="preserve">Page 109 of PDF, 10-K
</t>
        </r>
      </text>
    </comment>
    <comment ref="J30" authorId="0" shapeId="0" xr:uid="{82DEEF9B-0BC9-4D3D-9B75-3008E331F516}">
      <text>
        <r>
          <rPr>
            <sz val="9"/>
            <color indexed="81"/>
            <rFont val="Tahoma"/>
            <family val="2"/>
          </rPr>
          <t>Page 109 of PDF, 10-K</t>
        </r>
      </text>
    </comment>
    <comment ref="H31" authorId="0" shapeId="0" xr:uid="{446EEF92-ED66-4AAF-97DC-9A5EF48CC6FD}">
      <text>
        <r>
          <rPr>
            <sz val="9"/>
            <color indexed="81"/>
            <rFont val="Tahoma"/>
            <family val="2"/>
          </rPr>
          <t>Page 103 of PDF, 10-K</t>
        </r>
      </text>
    </comment>
    <comment ref="J31" authorId="0" shapeId="0" xr:uid="{27AA6159-18FC-4D7E-B951-8C80B5A4F50A}">
      <text>
        <r>
          <rPr>
            <sz val="9"/>
            <color indexed="81"/>
            <rFont val="Tahoma"/>
            <family val="2"/>
          </rPr>
          <t>Page 103 of PDF, 10-K</t>
        </r>
      </text>
    </comment>
    <comment ref="F37" authorId="4" shapeId="0" xr:uid="{CEF678F7-6580-4CF3-AC8E-A803AFF27478}">
      <text>
        <r>
          <rPr>
            <b/>
            <sz val="11"/>
            <color indexed="81"/>
            <rFont val="Tahoma"/>
            <family val="2"/>
          </rPr>
          <t>rev3569:</t>
        </r>
        <r>
          <rPr>
            <sz val="11"/>
            <color indexed="81"/>
            <rFont val="Tahoma"/>
            <family val="2"/>
          </rPr>
          <t xml:space="preserve">
identify present value in 10K</t>
        </r>
      </text>
    </comment>
    <comment ref="F41" authorId="1" shapeId="0" xr:uid="{5D3A7E9E-31FD-48DE-A814-52821D26E9B2}">
      <text>
        <r>
          <rPr>
            <b/>
            <sz val="9"/>
            <color indexed="81"/>
            <rFont val="Tahoma"/>
            <family val="2"/>
          </rPr>
          <t>Baker, Mike A (DOR):</t>
        </r>
        <r>
          <rPr>
            <sz val="9"/>
            <color indexed="81"/>
            <rFont val="Tahoma"/>
            <family val="2"/>
          </rPr>
          <t xml:space="preserve">
Page 122 &amp; 123   10K</t>
        </r>
      </text>
    </comment>
    <comment ref="G41" authorId="5" shapeId="0" xr:uid="{32758C80-C783-4890-9BF5-A04AE5CA4564}">
      <text>
        <r>
          <rPr>
            <sz val="9"/>
            <color indexed="81"/>
            <rFont val="Tahoma"/>
            <family val="2"/>
          </rPr>
          <t>Page 121  of PDF, 10-K</t>
        </r>
      </text>
    </comment>
    <comment ref="F42" authorId="1" shapeId="0" xr:uid="{D5DE34DD-BBCB-45CC-A888-19FBADE7ED9F}">
      <text>
        <r>
          <rPr>
            <b/>
            <sz val="9"/>
            <color indexed="81"/>
            <rFont val="Tahoma"/>
            <family val="2"/>
          </rPr>
          <t>Baker, Mike A (DOR):</t>
        </r>
        <r>
          <rPr>
            <sz val="9"/>
            <color indexed="81"/>
            <rFont val="Tahoma"/>
            <family val="2"/>
          </rPr>
          <t xml:space="preserve">
Page 171 &amp; 110   10K</t>
        </r>
      </text>
    </comment>
    <comment ref="G42" authorId="5" shapeId="0" xr:uid="{C67C4F7B-0191-4B81-B05E-7AAF2C5A5112}">
      <text>
        <r>
          <rPr>
            <sz val="9"/>
            <color indexed="81"/>
            <rFont val="Tahoma"/>
            <family val="2"/>
          </rPr>
          <t>Page 186 of PDF, 10-K</t>
        </r>
      </text>
    </comment>
    <comment ref="F43" authorId="1" shapeId="0" xr:uid="{1D90F27A-A7F2-471D-AF0F-0A07FE12A269}">
      <text>
        <r>
          <rPr>
            <b/>
            <sz val="9"/>
            <color indexed="81"/>
            <rFont val="Tahoma"/>
            <family val="2"/>
          </rPr>
          <t>Baker, Mike A (DOR):</t>
        </r>
        <r>
          <rPr>
            <sz val="9"/>
            <color indexed="81"/>
            <rFont val="Tahoma"/>
            <family val="2"/>
          </rPr>
          <t xml:space="preserve">
Page 201   10K</t>
        </r>
      </text>
    </comment>
    <comment ref="G43" authorId="5" shapeId="0" xr:uid="{118A4245-1E4E-4489-9842-381063F6BE3C}">
      <text>
        <r>
          <rPr>
            <sz val="9"/>
            <color indexed="81"/>
            <rFont val="Tahoma"/>
            <family val="2"/>
          </rPr>
          <t>Page 230 of PDF, 10-K</t>
        </r>
      </text>
    </comment>
    <comment ref="F44" authorId="1" shapeId="0" xr:uid="{514262DD-9C63-49F2-975A-5F701A02C8C0}">
      <text>
        <r>
          <rPr>
            <b/>
            <sz val="9"/>
            <color indexed="81"/>
            <rFont val="Tahoma"/>
            <family val="2"/>
          </rPr>
          <t>Baker, Mike A (DOR):</t>
        </r>
        <r>
          <rPr>
            <sz val="9"/>
            <color indexed="81"/>
            <rFont val="Tahoma"/>
            <family val="2"/>
          </rPr>
          <t xml:space="preserve">
Page 67 &amp; 110   10K</t>
        </r>
      </text>
    </comment>
    <comment ref="G44" authorId="5" shapeId="0" xr:uid="{8718CB7D-F464-4064-9FD5-B3244E706A54}">
      <text>
        <r>
          <rPr>
            <sz val="9"/>
            <color indexed="81"/>
            <rFont val="Tahoma"/>
            <family val="2"/>
          </rPr>
          <t>Page 82 of PDF, 10-K</t>
        </r>
      </text>
    </comment>
    <comment ref="F45" authorId="1" shapeId="0" xr:uid="{F024C223-BA72-4628-B239-44116A7A227B}">
      <text>
        <r>
          <rPr>
            <b/>
            <sz val="9"/>
            <color indexed="81"/>
            <rFont val="Tahoma"/>
            <family val="2"/>
          </rPr>
          <t>Baker, Mike A (DOR):</t>
        </r>
        <r>
          <rPr>
            <sz val="9"/>
            <color indexed="81"/>
            <rFont val="Tahoma"/>
            <family val="2"/>
          </rPr>
          <t xml:space="preserve">
Page 67 &amp; 110   10K</t>
        </r>
      </text>
    </comment>
    <comment ref="G45" authorId="5" shapeId="0" xr:uid="{37C35D04-F59E-4873-B94D-D4BB678FFCAA}">
      <text>
        <r>
          <rPr>
            <sz val="9"/>
            <color indexed="81"/>
            <rFont val="Tahoma"/>
            <family val="2"/>
          </rPr>
          <t>Page 96 &amp; 103 of PDF, 10-K</t>
        </r>
      </text>
    </comment>
    <comment ref="F46" authorId="1" shapeId="0" xr:uid="{52A7F382-D62B-4D57-9FB9-45AB0FCA7C31}">
      <text>
        <r>
          <rPr>
            <b/>
            <sz val="9"/>
            <color indexed="81"/>
            <rFont val="Tahoma"/>
            <family val="2"/>
          </rPr>
          <t>Baker, Mike A (DOR):</t>
        </r>
        <r>
          <rPr>
            <sz val="9"/>
            <color indexed="81"/>
            <rFont val="Tahoma"/>
            <family val="2"/>
          </rPr>
          <t xml:space="preserve">
Page 58   10K</t>
        </r>
      </text>
    </comment>
    <comment ref="G46" authorId="5" shapeId="0" xr:uid="{EEB0FFD8-B902-42EA-9128-AB74967C2630}">
      <text>
        <r>
          <rPr>
            <sz val="9"/>
            <color indexed="81"/>
            <rFont val="Tahoma"/>
            <family val="2"/>
          </rPr>
          <t>Page 98 of PDF, 10-K</t>
        </r>
      </text>
    </comment>
    <comment ref="F47" authorId="1" shapeId="0" xr:uid="{A1E1988B-37EE-4C04-B756-E04B811F51BA}">
      <text>
        <r>
          <rPr>
            <b/>
            <sz val="9"/>
            <color indexed="81"/>
            <rFont val="Tahoma"/>
            <family val="2"/>
          </rPr>
          <t>Baker, Mike A (DOR):</t>
        </r>
        <r>
          <rPr>
            <sz val="9"/>
            <color indexed="81"/>
            <rFont val="Tahoma"/>
            <family val="2"/>
          </rPr>
          <t xml:space="preserve">
Page 78   10K</t>
        </r>
      </text>
    </comment>
    <comment ref="G47" authorId="5" shapeId="0" xr:uid="{27DEC5AF-944A-42A5-9079-31A42D4041E1}">
      <text>
        <r>
          <rPr>
            <sz val="9"/>
            <color indexed="81"/>
            <rFont val="Tahoma"/>
            <family val="2"/>
          </rPr>
          <t>Page 151 &amp; 153 of PDF, 10-K</t>
        </r>
      </text>
    </comment>
    <comment ref="F48" authorId="1" shapeId="0" xr:uid="{16FC21F1-8651-4155-8512-79B5C51FBC56}">
      <text>
        <r>
          <rPr>
            <b/>
            <sz val="9"/>
            <color indexed="81"/>
            <rFont val="Tahoma"/>
            <family val="2"/>
          </rPr>
          <t>Baker, Mike A (DOR):</t>
        </r>
        <r>
          <rPr>
            <sz val="9"/>
            <color indexed="81"/>
            <rFont val="Tahoma"/>
            <family val="2"/>
          </rPr>
          <t xml:space="preserve">
Page 76 10K</t>
        </r>
      </text>
    </comment>
    <comment ref="G48" authorId="5" shapeId="0" xr:uid="{3DAB41D3-DD88-45C0-BA80-88DBD1BF86EB}">
      <text>
        <r>
          <rPr>
            <sz val="9"/>
            <color indexed="81"/>
            <rFont val="Tahoma"/>
            <family val="2"/>
          </rPr>
          <t>Page 79 of PDF, 10-K</t>
        </r>
      </text>
    </comment>
    <comment ref="F49" authorId="1" shapeId="0" xr:uid="{0EBB846C-11BD-46CE-B78D-41BC0CD4BC9A}">
      <text>
        <r>
          <rPr>
            <b/>
            <sz val="9"/>
            <color indexed="81"/>
            <rFont val="Tahoma"/>
            <family val="2"/>
          </rPr>
          <t>Baker, Mike A (DOR):</t>
        </r>
        <r>
          <rPr>
            <sz val="9"/>
            <color indexed="81"/>
            <rFont val="Tahoma"/>
            <family val="2"/>
          </rPr>
          <t xml:space="preserve">
Page 151 10K</t>
        </r>
      </text>
    </comment>
    <comment ref="G49" authorId="5" shapeId="0" xr:uid="{223F66E5-BD0A-4142-B129-ED0F42D293C2}">
      <text>
        <r>
          <rPr>
            <sz val="9"/>
            <color indexed="81"/>
            <rFont val="Tahoma"/>
            <family val="2"/>
          </rPr>
          <t>Page 137 of PDF, 10-K</t>
        </r>
      </text>
    </comment>
    <comment ref="F50" authorId="1" shapeId="0" xr:uid="{B2864924-2913-4ED7-BF10-69B009A62E3B}">
      <text>
        <r>
          <rPr>
            <b/>
            <sz val="9"/>
            <color indexed="81"/>
            <rFont val="Tahoma"/>
            <family val="2"/>
          </rPr>
          <t>Baker, Mike A (DOR):</t>
        </r>
        <r>
          <rPr>
            <sz val="9"/>
            <color indexed="81"/>
            <rFont val="Tahoma"/>
            <family val="2"/>
          </rPr>
          <t xml:space="preserve">
See 10K page 144
</t>
        </r>
      </text>
    </comment>
    <comment ref="G50" authorId="5" shapeId="0" xr:uid="{19CA84F0-8F40-46FB-A37E-6AB9CD6AA86B}">
      <text>
        <r>
          <rPr>
            <sz val="9"/>
            <color indexed="81"/>
            <rFont val="Tahoma"/>
            <family val="2"/>
          </rPr>
          <t>Page 140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E22" authorId="0" shapeId="0" xr:uid="{2F0FDA52-CB6F-4CD4-BF4C-4F5BF41A4A77}">
      <text>
        <r>
          <rPr>
            <b/>
            <sz val="9"/>
            <color indexed="81"/>
            <rFont val="Tahoma"/>
            <family val="2"/>
          </rPr>
          <t>Baker, Mike A (DOR):</t>
        </r>
        <r>
          <rPr>
            <sz val="9"/>
            <color indexed="81"/>
            <rFont val="Tahoma"/>
            <family val="2"/>
          </rPr>
          <t xml:space="preserve">
See 10K page 100</t>
        </r>
      </text>
    </comment>
    <comment ref="E23" authorId="0" shapeId="0" xr:uid="{3944DC1D-226A-455A-BA5B-6EB06081F58F}">
      <text>
        <r>
          <rPr>
            <b/>
            <sz val="9"/>
            <color indexed="81"/>
            <rFont val="Tahoma"/>
            <family val="2"/>
          </rPr>
          <t>Baker, Mike A (DOR):</t>
        </r>
        <r>
          <rPr>
            <sz val="9"/>
            <color indexed="81"/>
            <rFont val="Tahoma"/>
            <family val="2"/>
          </rPr>
          <t xml:space="preserve">
See 10K page 171</t>
        </r>
      </text>
    </comment>
    <comment ref="E24" authorId="0" shapeId="0" xr:uid="{1B3B2C9B-AFEF-47D6-BB11-E03F97DBCC00}">
      <text>
        <r>
          <rPr>
            <b/>
            <sz val="9"/>
            <color indexed="81"/>
            <rFont val="Tahoma"/>
            <family val="2"/>
          </rPr>
          <t>Baker, Mike A (DOR):</t>
        </r>
        <r>
          <rPr>
            <sz val="9"/>
            <color indexed="81"/>
            <rFont val="Tahoma"/>
            <family val="2"/>
          </rPr>
          <t xml:space="preserve">
See 10K page 137</t>
        </r>
      </text>
    </comment>
    <comment ref="E25" authorId="0" shapeId="0" xr:uid="{5459910F-46C2-4AE5-B03D-5D0CD02262E5}">
      <text>
        <r>
          <rPr>
            <b/>
            <sz val="9"/>
            <color indexed="81"/>
            <rFont val="Tahoma"/>
            <family val="2"/>
          </rPr>
          <t>Baker, Mike A (DOR):</t>
        </r>
        <r>
          <rPr>
            <sz val="9"/>
            <color indexed="81"/>
            <rFont val="Tahoma"/>
            <family val="2"/>
          </rPr>
          <t xml:space="preserve">
See 10K page 67</t>
        </r>
      </text>
    </comment>
    <comment ref="E26" authorId="0" shapeId="0" xr:uid="{FA7B8A1A-ACB9-4BC9-8D87-C792654396BD}">
      <text>
        <r>
          <rPr>
            <b/>
            <sz val="9"/>
            <color indexed="81"/>
            <rFont val="Tahoma"/>
            <family val="2"/>
          </rPr>
          <t>Baker, Mike A (DOR):</t>
        </r>
        <r>
          <rPr>
            <sz val="9"/>
            <color indexed="81"/>
            <rFont val="Tahoma"/>
            <family val="2"/>
          </rPr>
          <t xml:space="preserve">
See 10K page 
</t>
        </r>
      </text>
    </comment>
    <comment ref="E27" authorId="0" shapeId="0" xr:uid="{B34DA636-7F4C-482C-BA13-125DF8EB4B54}">
      <text>
        <r>
          <rPr>
            <b/>
            <sz val="9"/>
            <color indexed="81"/>
            <rFont val="Tahoma"/>
            <family val="2"/>
          </rPr>
          <t>Baker, Mike A (DOR):</t>
        </r>
        <r>
          <rPr>
            <sz val="9"/>
            <color indexed="81"/>
            <rFont val="Tahoma"/>
            <family val="2"/>
          </rPr>
          <t xml:space="preserve">
See 10K page 60</t>
        </r>
      </text>
    </comment>
    <comment ref="E28" authorId="0" shapeId="0" xr:uid="{AF91F6EC-5662-4DD4-8FE2-505F4CC1C771}">
      <text>
        <r>
          <rPr>
            <b/>
            <sz val="9"/>
            <color indexed="81"/>
            <rFont val="Tahoma"/>
            <family val="2"/>
          </rPr>
          <t>Baker, Mike A (DOR):</t>
        </r>
        <r>
          <rPr>
            <sz val="9"/>
            <color indexed="81"/>
            <rFont val="Tahoma"/>
            <family val="2"/>
          </rPr>
          <t xml:space="preserve">
See 10K page 78/82</t>
        </r>
      </text>
    </comment>
    <comment ref="E29" authorId="0" shapeId="0" xr:uid="{18A0677C-9837-4A48-BCCC-8A82D8F1C1D9}">
      <text>
        <r>
          <rPr>
            <b/>
            <sz val="9"/>
            <color indexed="81"/>
            <rFont val="Tahoma"/>
            <family val="2"/>
          </rPr>
          <t>Baker, Mike A (DOR):</t>
        </r>
        <r>
          <rPr>
            <sz val="9"/>
            <color indexed="81"/>
            <rFont val="Tahoma"/>
            <family val="2"/>
          </rPr>
          <t xml:space="preserve">
See 10K page 54</t>
        </r>
      </text>
    </comment>
    <comment ref="E30" authorId="0" shapeId="0" xr:uid="{4FDF0957-093D-4CCF-B19F-803ADEB5D90C}">
      <text>
        <r>
          <rPr>
            <b/>
            <sz val="9"/>
            <color indexed="81"/>
            <rFont val="Tahoma"/>
            <family val="2"/>
          </rPr>
          <t>Baker, Mike A (DOR):</t>
        </r>
        <r>
          <rPr>
            <sz val="9"/>
            <color indexed="81"/>
            <rFont val="Tahoma"/>
            <family val="2"/>
          </rPr>
          <t xml:space="preserve">
See 10K page 109</t>
        </r>
      </text>
    </comment>
    <comment ref="E31" authorId="0" shapeId="0" xr:uid="{E12088AD-9844-42C0-B639-305055030A64}">
      <text>
        <r>
          <rPr>
            <b/>
            <sz val="9"/>
            <color indexed="81"/>
            <rFont val="Tahoma"/>
            <family val="2"/>
          </rPr>
          <t>Baker, Mike A (DOR):</t>
        </r>
        <r>
          <rPr>
            <sz val="9"/>
            <color indexed="81"/>
            <rFont val="Tahoma"/>
            <family val="2"/>
          </rPr>
          <t xml:space="preserve">
See 10K page 103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D20" authorId="0" shapeId="0" xr:uid="{6D4EDF53-C434-4993-AD79-C8F570F3F05C}">
      <text>
        <r>
          <rPr>
            <b/>
            <sz val="9"/>
            <color indexed="81"/>
            <rFont val="Tahoma"/>
            <family val="2"/>
          </rPr>
          <t>Baker, Mike A (DOR):</t>
        </r>
        <r>
          <rPr>
            <sz val="9"/>
            <color indexed="81"/>
            <rFont val="Tahoma"/>
            <family val="2"/>
          </rPr>
          <t xml:space="preserve">
See 10K page 113/119</t>
        </r>
      </text>
    </comment>
    <comment ref="G20" authorId="0" shapeId="0" xr:uid="{E70CB2D7-73F6-4310-A7E7-FAB0FE210A72}">
      <text>
        <r>
          <rPr>
            <b/>
            <sz val="9"/>
            <color indexed="81"/>
            <rFont val="Tahoma"/>
            <family val="2"/>
          </rPr>
          <t>Baker, Mike A (DOR):</t>
        </r>
        <r>
          <rPr>
            <sz val="9"/>
            <color indexed="81"/>
            <rFont val="Tahoma"/>
            <family val="2"/>
          </rPr>
          <t xml:space="preserve">
See 10K page 95/101</t>
        </r>
      </text>
    </comment>
    <comment ref="D21" authorId="0" shapeId="0" xr:uid="{8124B00B-41E4-4DF3-B694-E8F5C21535AA}">
      <text>
        <r>
          <rPr>
            <b/>
            <sz val="9"/>
            <color indexed="81"/>
            <rFont val="Tahoma"/>
            <family val="2"/>
          </rPr>
          <t>Baker, Mike A (DOR):</t>
        </r>
        <r>
          <rPr>
            <sz val="9"/>
            <color indexed="81"/>
            <rFont val="Tahoma"/>
            <family val="2"/>
          </rPr>
          <t xml:space="preserve">
See 10K page 170</t>
        </r>
      </text>
    </comment>
    <comment ref="G21" authorId="0" shapeId="0" xr:uid="{E174D504-A3C6-47AF-A85B-B58B7663A27D}">
      <text>
        <r>
          <rPr>
            <b/>
            <sz val="9"/>
            <color indexed="81"/>
            <rFont val="Tahoma"/>
            <family val="2"/>
          </rPr>
          <t>Baker, Mike A (DOR):</t>
        </r>
        <r>
          <rPr>
            <sz val="9"/>
            <color indexed="81"/>
            <rFont val="Tahoma"/>
            <family val="2"/>
          </rPr>
          <t xml:space="preserve">
See 10K page 172</t>
        </r>
      </text>
    </comment>
    <comment ref="D22" authorId="0" shapeId="0" xr:uid="{64252B38-C287-420F-BB69-01D3EFD13653}">
      <text>
        <r>
          <rPr>
            <b/>
            <sz val="9"/>
            <color indexed="81"/>
            <rFont val="Tahoma"/>
            <family val="2"/>
          </rPr>
          <t>Baker, Mike A (DOR):</t>
        </r>
        <r>
          <rPr>
            <sz val="9"/>
            <color indexed="81"/>
            <rFont val="Tahoma"/>
            <family val="2"/>
          </rPr>
          <t xml:space="preserve">
See 10K page 153</t>
        </r>
      </text>
    </comment>
    <comment ref="G22" authorId="0" shapeId="0" xr:uid="{DD6A4E54-DB0F-42C4-A4EF-18C100227F26}">
      <text>
        <r>
          <rPr>
            <b/>
            <sz val="9"/>
            <color indexed="81"/>
            <rFont val="Tahoma"/>
            <family val="2"/>
          </rPr>
          <t>Baker, Mike A (DOR):</t>
        </r>
        <r>
          <rPr>
            <sz val="9"/>
            <color indexed="81"/>
            <rFont val="Tahoma"/>
            <family val="2"/>
          </rPr>
          <t xml:space="preserve">
See 10K page 67</t>
        </r>
      </text>
    </comment>
    <comment ref="D23" authorId="0" shapeId="0" xr:uid="{AE6A0920-F7DF-4F4E-89B5-1EB21F92EC6E}">
      <text>
        <r>
          <rPr>
            <b/>
            <sz val="9"/>
            <color indexed="81"/>
            <rFont val="Tahoma"/>
            <family val="2"/>
          </rPr>
          <t>Baker, Mike A (DOR):</t>
        </r>
        <r>
          <rPr>
            <sz val="9"/>
            <color indexed="81"/>
            <rFont val="Tahoma"/>
            <family val="2"/>
          </rPr>
          <t xml:space="preserve">
See 10K page 80</t>
        </r>
      </text>
    </comment>
    <comment ref="G23" authorId="0" shapeId="0" xr:uid="{586232E7-2617-42DD-BD71-400165FBC48A}">
      <text>
        <r>
          <rPr>
            <b/>
            <sz val="9"/>
            <color indexed="81"/>
            <rFont val="Tahoma"/>
            <family val="2"/>
          </rPr>
          <t>Baker, Mike A (DOR):</t>
        </r>
        <r>
          <rPr>
            <sz val="9"/>
            <color indexed="81"/>
            <rFont val="Tahoma"/>
            <family val="2"/>
          </rPr>
          <t xml:space="preserve">
See 10K page 68</t>
        </r>
      </text>
    </comment>
    <comment ref="D24" authorId="0" shapeId="0" xr:uid="{B632E231-4FEE-4792-A714-12CDA76C0DBC}">
      <text>
        <r>
          <rPr>
            <b/>
            <sz val="9"/>
            <color indexed="81"/>
            <rFont val="Tahoma"/>
            <family val="2"/>
          </rPr>
          <t>Baker, Mike A (DOR):</t>
        </r>
        <r>
          <rPr>
            <sz val="9"/>
            <color indexed="81"/>
            <rFont val="Tahoma"/>
            <family val="2"/>
          </rPr>
          <t xml:space="preserve">
See 10K page 99</t>
        </r>
      </text>
    </comment>
    <comment ref="G24" authorId="0" shapeId="0" xr:uid="{47BE0292-C9A2-4290-8744-91A3C07C9CA2}">
      <text>
        <r>
          <rPr>
            <b/>
            <sz val="9"/>
            <color indexed="81"/>
            <rFont val="Tahoma"/>
            <family val="2"/>
          </rPr>
          <t>Baker, Mike A (DOR):</t>
        </r>
        <r>
          <rPr>
            <sz val="9"/>
            <color indexed="81"/>
            <rFont val="Tahoma"/>
            <family val="2"/>
          </rPr>
          <t xml:space="preserve">
See 10K page79</t>
        </r>
      </text>
    </comment>
    <comment ref="D25" authorId="0" shapeId="0" xr:uid="{DD8A8286-6852-4F8D-8CD2-E68AFC0B6EFB}">
      <text>
        <r>
          <rPr>
            <b/>
            <sz val="9"/>
            <color indexed="81"/>
            <rFont val="Tahoma"/>
            <family val="2"/>
          </rPr>
          <t>Baker, Mike A (DOR):</t>
        </r>
        <r>
          <rPr>
            <sz val="9"/>
            <color indexed="81"/>
            <rFont val="Tahoma"/>
            <family val="2"/>
          </rPr>
          <t xml:space="preserve">
See 10K page 60</t>
        </r>
      </text>
    </comment>
    <comment ref="G25" authorId="0" shapeId="0" xr:uid="{EA8A1064-3455-43AA-976C-8AE27960C174}">
      <text>
        <r>
          <rPr>
            <b/>
            <sz val="9"/>
            <color indexed="81"/>
            <rFont val="Tahoma"/>
            <family val="2"/>
          </rPr>
          <t>Baker, Mike A (DOR):</t>
        </r>
        <r>
          <rPr>
            <sz val="9"/>
            <color indexed="81"/>
            <rFont val="Tahoma"/>
            <family val="2"/>
          </rPr>
          <t xml:space="preserve">
See 10K page 58</t>
        </r>
      </text>
    </comment>
    <comment ref="D26" authorId="0" shapeId="0" xr:uid="{9AB3B88D-95FA-45C5-AD25-A5F9A613DA34}">
      <text>
        <r>
          <rPr>
            <b/>
            <sz val="9"/>
            <color indexed="81"/>
            <rFont val="Tahoma"/>
            <family val="2"/>
          </rPr>
          <t>Baker, Mike A (DOR):</t>
        </r>
        <r>
          <rPr>
            <sz val="9"/>
            <color indexed="81"/>
            <rFont val="Tahoma"/>
            <family val="2"/>
          </rPr>
          <t xml:space="preserve">
See 10K page 105</t>
        </r>
      </text>
    </comment>
    <comment ref="G26" authorId="0" shapeId="0" xr:uid="{35135974-8A80-48A5-9067-5D26F204533A}">
      <text>
        <r>
          <rPr>
            <b/>
            <sz val="9"/>
            <color indexed="81"/>
            <rFont val="Tahoma"/>
            <family val="2"/>
          </rPr>
          <t>Baker, Mike A (DOR):</t>
        </r>
        <r>
          <rPr>
            <sz val="9"/>
            <color indexed="81"/>
            <rFont val="Tahoma"/>
            <family val="2"/>
          </rPr>
          <t xml:space="preserve">
See 10K page 80
</t>
        </r>
      </text>
    </comment>
    <comment ref="D27" authorId="0" shapeId="0" xr:uid="{039155E0-370D-4C34-921C-8EBBF85481AC}">
      <text>
        <r>
          <rPr>
            <b/>
            <sz val="9"/>
            <color indexed="81"/>
            <rFont val="Tahoma"/>
            <family val="2"/>
          </rPr>
          <t>Baker, Mike A (DOR):</t>
        </r>
        <r>
          <rPr>
            <sz val="9"/>
            <color indexed="81"/>
            <rFont val="Tahoma"/>
            <family val="2"/>
          </rPr>
          <t xml:space="preserve">
See 10K page 54</t>
        </r>
      </text>
    </comment>
    <comment ref="G27" authorId="0" shapeId="0" xr:uid="{F1DA64B6-7F7D-4C4A-9859-613AA6A7DDE6}">
      <text>
        <r>
          <rPr>
            <b/>
            <sz val="9"/>
            <color indexed="81"/>
            <rFont val="Tahoma"/>
            <family val="2"/>
          </rPr>
          <t>Baker, Mike A (DOR):</t>
        </r>
        <r>
          <rPr>
            <sz val="9"/>
            <color indexed="81"/>
            <rFont val="Tahoma"/>
            <family val="2"/>
          </rPr>
          <t xml:space="preserve">
See 10K page 55</t>
        </r>
      </text>
    </comment>
    <comment ref="D28" authorId="0" shapeId="0" xr:uid="{D44CCA97-E019-4980-9DFF-40D83DCA627E}">
      <text>
        <r>
          <rPr>
            <b/>
            <sz val="9"/>
            <color indexed="81"/>
            <rFont val="Tahoma"/>
            <family val="2"/>
          </rPr>
          <t>Baker, Mike A (DOR):</t>
        </r>
        <r>
          <rPr>
            <sz val="9"/>
            <color indexed="81"/>
            <rFont val="Tahoma"/>
            <family val="2"/>
          </rPr>
          <t xml:space="preserve">
See 10K page 109</t>
        </r>
      </text>
    </comment>
    <comment ref="G28" authorId="0" shapeId="0" xr:uid="{FFD09617-E4F4-4E60-B703-4E466860B96F}">
      <text>
        <r>
          <rPr>
            <b/>
            <sz val="9"/>
            <color indexed="81"/>
            <rFont val="Tahoma"/>
            <family val="2"/>
          </rPr>
          <t>Baker, Mike A (DOR):</t>
        </r>
        <r>
          <rPr>
            <sz val="9"/>
            <color indexed="81"/>
            <rFont val="Tahoma"/>
            <family val="2"/>
          </rPr>
          <t xml:space="preserve">
See 10K page 110
</t>
        </r>
      </text>
    </comment>
    <comment ref="D29" authorId="0" shapeId="0" xr:uid="{97555DCF-3231-46C0-9E75-1D3D53BB5966}">
      <text>
        <r>
          <rPr>
            <b/>
            <sz val="9"/>
            <color indexed="81"/>
            <rFont val="Tahoma"/>
            <family val="2"/>
          </rPr>
          <t>Baker, Mike A (DOR):</t>
        </r>
        <r>
          <rPr>
            <sz val="9"/>
            <color indexed="81"/>
            <rFont val="Tahoma"/>
            <family val="2"/>
          </rPr>
          <t xml:space="preserve">
See 10K page 135</t>
        </r>
      </text>
    </comment>
    <comment ref="G29" authorId="0" shapeId="0" xr:uid="{C02D2ED6-2E7E-497E-91CA-60D6EB408ABD}">
      <text>
        <r>
          <rPr>
            <b/>
            <sz val="9"/>
            <color indexed="81"/>
            <rFont val="Tahoma"/>
            <family val="2"/>
          </rPr>
          <t>Baker, Mike A (DOR):</t>
        </r>
        <r>
          <rPr>
            <sz val="9"/>
            <color indexed="81"/>
            <rFont val="Tahoma"/>
            <family val="2"/>
          </rPr>
          <t xml:space="preserve">
See 10K page 108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C19" authorId="0" shapeId="0" xr:uid="{DF87B987-4A49-4247-881E-B19FE67D73B8}">
      <text>
        <r>
          <rPr>
            <b/>
            <sz val="9"/>
            <color indexed="81"/>
            <rFont val="Tahoma"/>
            <family val="2"/>
          </rPr>
          <t>Baker, Mike A (DOR):</t>
        </r>
        <r>
          <rPr>
            <sz val="9"/>
            <color indexed="81"/>
            <rFont val="Tahoma"/>
            <family val="2"/>
          </rPr>
          <t xml:space="preserve">
See 10K page 101
</t>
        </r>
      </text>
    </comment>
    <comment ref="E19" authorId="0" shapeId="0" xr:uid="{36F8F6F9-F898-4577-90C5-C3327672F5B4}">
      <text>
        <r>
          <rPr>
            <b/>
            <sz val="9"/>
            <color indexed="81"/>
            <rFont val="Tahoma"/>
            <family val="2"/>
          </rPr>
          <t>Baker, Mike A (DOR):</t>
        </r>
        <r>
          <rPr>
            <sz val="9"/>
            <color indexed="81"/>
            <rFont val="Tahoma"/>
            <family val="2"/>
          </rPr>
          <t xml:space="preserve">
See 10K page 100</t>
        </r>
      </text>
    </comment>
    <comment ref="C20" authorId="0" shapeId="0" xr:uid="{7F9B82CC-4502-4CB5-9F00-F40F3CE6FE36}">
      <text>
        <r>
          <rPr>
            <b/>
            <sz val="9"/>
            <color indexed="81"/>
            <rFont val="Tahoma"/>
            <family val="2"/>
          </rPr>
          <t>Baker, Mike A (DOR):</t>
        </r>
        <r>
          <rPr>
            <sz val="9"/>
            <color indexed="81"/>
            <rFont val="Tahoma"/>
            <family val="2"/>
          </rPr>
          <t xml:space="preserve">
See 10K page 172</t>
        </r>
      </text>
    </comment>
    <comment ref="E20" authorId="0" shapeId="0" xr:uid="{C5C8EF57-1D84-48C9-94BD-E46F61E1B2F3}">
      <text>
        <r>
          <rPr>
            <b/>
            <sz val="9"/>
            <color indexed="81"/>
            <rFont val="Tahoma"/>
            <family val="2"/>
          </rPr>
          <t>Baker, Mike A (DOR):</t>
        </r>
        <r>
          <rPr>
            <sz val="9"/>
            <color indexed="81"/>
            <rFont val="Tahoma"/>
            <family val="2"/>
          </rPr>
          <t xml:space="preserve">
See 10K page 171</t>
        </r>
      </text>
    </comment>
    <comment ref="C21" authorId="0" shapeId="0" xr:uid="{6D3DCC1B-29F1-4E91-9135-E5B77E5190D4}">
      <text>
        <r>
          <rPr>
            <b/>
            <sz val="9"/>
            <color indexed="81"/>
            <rFont val="Tahoma"/>
            <family val="2"/>
          </rPr>
          <t>Baker, Mike A (DOR):</t>
        </r>
        <r>
          <rPr>
            <sz val="9"/>
            <color indexed="81"/>
            <rFont val="Tahoma"/>
            <family val="2"/>
          </rPr>
          <t xml:space="preserve">
See 10K page 138</t>
        </r>
      </text>
    </comment>
    <comment ref="E21" authorId="0" shapeId="0" xr:uid="{4F35622F-2E65-474B-9396-C106EBB6BC91}">
      <text>
        <r>
          <rPr>
            <b/>
            <sz val="9"/>
            <color indexed="81"/>
            <rFont val="Tahoma"/>
            <family val="2"/>
          </rPr>
          <t>Baker, Mike A (DOR):</t>
        </r>
        <r>
          <rPr>
            <sz val="9"/>
            <color indexed="81"/>
            <rFont val="Tahoma"/>
            <family val="2"/>
          </rPr>
          <t xml:space="preserve">
See 10K page 137
</t>
        </r>
      </text>
    </comment>
    <comment ref="C22" authorId="0" shapeId="0" xr:uid="{044D8E16-2235-4084-B9C4-734E17938A37}">
      <text>
        <r>
          <rPr>
            <b/>
            <sz val="9"/>
            <color indexed="81"/>
            <rFont val="Tahoma"/>
            <family val="2"/>
          </rPr>
          <t>Baker, Mike A (DOR):</t>
        </r>
        <r>
          <rPr>
            <sz val="9"/>
            <color indexed="81"/>
            <rFont val="Tahoma"/>
            <family val="2"/>
          </rPr>
          <t xml:space="preserve">
See 10K page 68</t>
        </r>
      </text>
    </comment>
    <comment ref="E22" authorId="0" shapeId="0" xr:uid="{95BEA78B-88FA-4934-881C-DC740A8F6ECF}">
      <text>
        <r>
          <rPr>
            <b/>
            <sz val="9"/>
            <color indexed="81"/>
            <rFont val="Tahoma"/>
            <family val="2"/>
          </rPr>
          <t>Baker, Mike A (DOR):</t>
        </r>
        <r>
          <rPr>
            <sz val="9"/>
            <color indexed="81"/>
            <rFont val="Tahoma"/>
            <family val="2"/>
          </rPr>
          <t xml:space="preserve">
See 10K page 67</t>
        </r>
      </text>
    </comment>
    <comment ref="C23" authorId="0" shapeId="0" xr:uid="{5FCCC751-EE61-45BA-96BD-C9ABFD34CC6A}">
      <text>
        <r>
          <rPr>
            <b/>
            <sz val="9"/>
            <color indexed="81"/>
            <rFont val="Tahoma"/>
            <family val="2"/>
          </rPr>
          <t>Baker, Mike A (DOR):</t>
        </r>
        <r>
          <rPr>
            <sz val="9"/>
            <color indexed="81"/>
            <rFont val="Tahoma"/>
            <family val="2"/>
          </rPr>
          <t xml:space="preserve">
See 10K page 79</t>
        </r>
      </text>
    </comment>
    <comment ref="E23" authorId="0" shapeId="0" xr:uid="{9241A505-F2CB-4D1C-8914-B9B90DC1EB28}">
      <text>
        <r>
          <rPr>
            <b/>
            <sz val="9"/>
            <color indexed="81"/>
            <rFont val="Tahoma"/>
            <family val="2"/>
          </rPr>
          <t>Baker, Mike A (DOR):</t>
        </r>
        <r>
          <rPr>
            <sz val="9"/>
            <color indexed="81"/>
            <rFont val="Tahoma"/>
            <family val="2"/>
          </rPr>
          <t xml:space="preserve">
See 10K page 78
</t>
        </r>
      </text>
    </comment>
    <comment ref="C24" authorId="0" shapeId="0" xr:uid="{C8510341-4319-4075-B82E-329C63BE1471}">
      <text>
        <r>
          <rPr>
            <b/>
            <sz val="9"/>
            <color indexed="81"/>
            <rFont val="Tahoma"/>
            <family val="2"/>
          </rPr>
          <t>Baker, Mike A (DOR):</t>
        </r>
        <r>
          <rPr>
            <sz val="9"/>
            <color indexed="81"/>
            <rFont val="Tahoma"/>
            <family val="2"/>
          </rPr>
          <t xml:space="preserve">
See 10K Page 58</t>
        </r>
      </text>
    </comment>
    <comment ref="E24" authorId="0" shapeId="0" xr:uid="{C9412169-F402-4CB2-A903-652DE0696B1A}">
      <text>
        <r>
          <rPr>
            <b/>
            <sz val="9"/>
            <color indexed="81"/>
            <rFont val="Tahoma"/>
            <family val="2"/>
          </rPr>
          <t>Baker, Mike A (DOR):</t>
        </r>
        <r>
          <rPr>
            <sz val="9"/>
            <color indexed="81"/>
            <rFont val="Tahoma"/>
            <family val="2"/>
          </rPr>
          <t xml:space="preserve">
See 10K page 60</t>
        </r>
      </text>
    </comment>
    <comment ref="C25" authorId="0" shapeId="0" xr:uid="{2B988A16-B462-460C-9558-F029DF1874A9}">
      <text>
        <r>
          <rPr>
            <b/>
            <sz val="9"/>
            <color indexed="81"/>
            <rFont val="Tahoma"/>
            <family val="2"/>
          </rPr>
          <t>Baker, Mike A (DOR):</t>
        </r>
        <r>
          <rPr>
            <sz val="9"/>
            <color indexed="81"/>
            <rFont val="Tahoma"/>
            <family val="2"/>
          </rPr>
          <t xml:space="preserve">
See 10K page 80
</t>
        </r>
      </text>
    </comment>
    <comment ref="E25" authorId="0" shapeId="0" xr:uid="{6852CF3C-3BEB-4E8F-9B08-B5F246102AF1}">
      <text>
        <r>
          <rPr>
            <b/>
            <sz val="9"/>
            <color indexed="81"/>
            <rFont val="Tahoma"/>
            <family val="2"/>
          </rPr>
          <t>Baker, Mike A (DOR):</t>
        </r>
        <r>
          <rPr>
            <sz val="9"/>
            <color indexed="81"/>
            <rFont val="Tahoma"/>
            <family val="2"/>
          </rPr>
          <t xml:space="preserve">
See 10K page 82</t>
        </r>
      </text>
    </comment>
    <comment ref="C26" authorId="0" shapeId="0" xr:uid="{6677FC0D-C5A5-4016-9ABD-A9CBBFFE319D}">
      <text>
        <r>
          <rPr>
            <b/>
            <sz val="9"/>
            <color indexed="81"/>
            <rFont val="Tahoma"/>
            <family val="2"/>
          </rPr>
          <t>Baker, Mike A (DOR):</t>
        </r>
        <r>
          <rPr>
            <sz val="9"/>
            <color indexed="81"/>
            <rFont val="Tahoma"/>
            <family val="2"/>
          </rPr>
          <t xml:space="preserve">
See 10K page 55
</t>
        </r>
      </text>
    </comment>
    <comment ref="C27" authorId="0" shapeId="0" xr:uid="{CB697933-CB54-43D9-8A1C-A21C798D97B1}">
      <text>
        <r>
          <rPr>
            <b/>
            <sz val="9"/>
            <color indexed="81"/>
            <rFont val="Tahoma"/>
            <family val="2"/>
          </rPr>
          <t>Baker, Mike A (DOR):</t>
        </r>
        <r>
          <rPr>
            <sz val="9"/>
            <color indexed="81"/>
            <rFont val="Tahoma"/>
            <family val="2"/>
          </rPr>
          <t xml:space="preserve">
See 10K page 110</t>
        </r>
      </text>
    </comment>
    <comment ref="E27" authorId="0" shapeId="0" xr:uid="{DD14A7A4-1B10-4DA8-85AE-61E1D16564DF}">
      <text>
        <r>
          <rPr>
            <b/>
            <sz val="9"/>
            <color indexed="81"/>
            <rFont val="Tahoma"/>
            <family val="2"/>
          </rPr>
          <t>Baker, Mike A (DOR):</t>
        </r>
        <r>
          <rPr>
            <sz val="9"/>
            <color indexed="81"/>
            <rFont val="Tahoma"/>
            <family val="2"/>
          </rPr>
          <t xml:space="preserve">
See 10K page 109
</t>
        </r>
      </text>
    </comment>
    <comment ref="C28" authorId="0" shapeId="0" xr:uid="{F057B003-7E21-4A9F-8C21-61499FA05520}">
      <text>
        <r>
          <rPr>
            <b/>
            <sz val="9"/>
            <color indexed="81"/>
            <rFont val="Tahoma"/>
            <family val="2"/>
          </rPr>
          <t>Baker, Mike A (DOR):</t>
        </r>
        <r>
          <rPr>
            <sz val="9"/>
            <color indexed="81"/>
            <rFont val="Tahoma"/>
            <family val="2"/>
          </rPr>
          <t xml:space="preserve">
See 10K page 108</t>
        </r>
      </text>
    </comment>
    <comment ref="D28" authorId="0" shapeId="0" xr:uid="{00B57E84-D36F-45C8-8551-8259B82CC6C3}">
      <text>
        <r>
          <rPr>
            <b/>
            <sz val="9"/>
            <color indexed="81"/>
            <rFont val="Tahoma"/>
            <family val="2"/>
          </rPr>
          <t>Baker, Mike A (DOR):</t>
        </r>
        <r>
          <rPr>
            <sz val="9"/>
            <color indexed="81"/>
            <rFont val="Tahoma"/>
            <family val="2"/>
          </rPr>
          <t xml:space="preserve">
See Dec 2021 10K Page145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H19" authorId="0" shapeId="0" xr:uid="{E3E8E6CF-CEAB-4A13-94DE-13C58CAC17BC}">
      <text>
        <r>
          <rPr>
            <b/>
            <sz val="9"/>
            <color indexed="81"/>
            <rFont val="Tahoma"/>
            <family val="2"/>
          </rPr>
          <t>Baker, Mike A (DOR):  See Idaho rating</t>
        </r>
        <r>
          <rPr>
            <sz val="9"/>
            <color indexed="81"/>
            <rFont val="Tahoma"/>
            <family val="2"/>
          </rPr>
          <t xml:space="preserve">
</t>
        </r>
      </text>
    </comment>
    <comment ref="F21" authorId="0" shapeId="0" xr:uid="{36E0A4CE-52A7-477E-A87A-E5362D0DD303}">
      <text>
        <r>
          <rPr>
            <b/>
            <sz val="9"/>
            <color indexed="81"/>
            <rFont val="Tahoma"/>
            <family val="2"/>
          </rPr>
          <t>Baker, Mike A (DOR):  See page 65 10K</t>
        </r>
        <r>
          <rPr>
            <sz val="9"/>
            <color indexed="81"/>
            <rFont val="Tahoma"/>
            <family val="2"/>
          </rPr>
          <t xml:space="preserve">
</t>
        </r>
      </text>
    </comment>
  </commentList>
</comments>
</file>

<file path=xl/sharedStrings.xml><?xml version="1.0" encoding="utf-8"?>
<sst xmlns="http://schemas.openxmlformats.org/spreadsheetml/2006/main" count="1590" uniqueCount="528">
  <si>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</si>
  <si>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</si>
  <si>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</si>
  <si>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</si>
  <si>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</si>
  <si>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</si>
  <si>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</si>
  <si>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</si>
  <si>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</si>
  <si>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</si>
  <si>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</si>
  <si>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</si>
  <si>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</si>
  <si>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</si>
  <si>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</si>
  <si>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</si>
  <si>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</si>
  <si>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</si>
  <si>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</si>
  <si>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</si>
  <si>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</si>
  <si>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</si>
  <si>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</si>
  <si>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</si>
  <si>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</si>
  <si>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</si>
  <si>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</si>
  <si>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</si>
  <si>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</si>
  <si>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</si>
  <si>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</si>
  <si>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</si>
  <si>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</si>
  <si>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</si>
  <si>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</si>
  <si>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</si>
  <si>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</si>
  <si>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</si>
  <si>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</si>
  <si>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</si>
  <si>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</si>
  <si>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</si>
  <si>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</si>
  <si>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</si>
  <si>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</si>
  <si>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</si>
  <si>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</si>
  <si>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</si>
  <si>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</si>
  <si>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</si>
  <si>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</si>
  <si>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</si>
  <si>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</si>
  <si>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</si>
  <si>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</si>
  <si>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</si>
  <si>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</si>
  <si>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</si>
  <si>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</si>
  <si>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</si>
  <si>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</si>
  <si>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</si>
  <si>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</si>
  <si>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</si>
  <si>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</si>
  <si>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</si>
  <si>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</si>
  <si>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</si>
  <si>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</si>
  <si>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</si>
  <si>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</si>
  <si>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</si>
  <si>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</si>
  <si>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</si>
  <si>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</si>
  <si>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</si>
  <si>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</si>
  <si>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</si>
  <si>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</si>
  <si>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</si>
  <si>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</si>
  <si>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</si>
  <si>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</si>
  <si>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</si>
  <si>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</si>
  <si>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</si>
  <si>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</si>
  <si>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</si>
  <si>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</si>
  <si>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</si>
  <si>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</si>
  <si>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</si>
  <si>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</si>
  <si>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</si>
  <si>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</si>
  <si>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</si>
  <si>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</si>
  <si>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</si>
  <si>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</si>
  <si>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</si>
  <si>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</si>
  <si>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</si>
  <si>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</si>
  <si>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</si>
  <si>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</si>
  <si>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</si>
  <si>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</si>
  <si>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</si>
  <si>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</si>
  <si>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</si>
  <si>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</si>
  <si>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</si>
  <si>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</si>
  <si>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</si>
  <si>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</si>
  <si>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</si>
  <si>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</si>
  <si>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</si>
  <si>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</si>
  <si>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</si>
  <si>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</si>
  <si>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</si>
  <si>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</si>
  <si>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</si>
  <si>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</si>
  <si>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</si>
  <si>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</si>
  <si>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</si>
  <si>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</si>
  <si>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</si>
  <si>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</si>
  <si>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</si>
  <si>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</si>
  <si>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</si>
  <si>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</si>
  <si>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</si>
  <si>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</si>
  <si>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</si>
  <si>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</si>
  <si>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</si>
  <si>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</si>
  <si>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</si>
  <si>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</si>
  <si>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</si>
  <si>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</si>
  <si>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</si>
  <si>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</si>
  <si>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</si>
  <si>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</si>
  <si>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</si>
  <si>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</si>
  <si>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</si>
  <si>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</si>
  <si>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</si>
  <si>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</si>
  <si>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</si>
  <si>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</si>
  <si>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</si>
  <si>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</si>
  <si>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</si>
  <si>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</si>
  <si>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</si>
  <si>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</si>
  <si>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</si>
  <si>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</si>
  <si>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</si>
  <si>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</si>
  <si>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</si>
  <si>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</si>
  <si>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</si>
  <si>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</si>
  <si>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</si>
  <si>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</si>
  <si>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</si>
  <si>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</si>
  <si>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</si>
  <si>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</si>
  <si>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</si>
  <si>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</si>
  <si>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</si>
  <si>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</si>
  <si>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</si>
  <si>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</si>
  <si>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</si>
  <si>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</si>
  <si>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</si>
  <si>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</si>
  <si>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</si>
  <si>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</si>
  <si>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</si>
  <si>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</si>
  <si>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</si>
  <si>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</si>
  <si>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</si>
  <si>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</si>
  <si>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</si>
  <si>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</si>
  <si>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</si>
  <si>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</si>
  <si>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</si>
  <si>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</si>
  <si>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</si>
  <si>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</si>
  <si>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</si>
  <si>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</si>
  <si>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</si>
  <si>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</si>
  <si>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</si>
  <si>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</si>
  <si>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</si>
  <si>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</si>
  <si>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</si>
  <si>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</si>
  <si>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</si>
  <si>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</si>
  <si>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</si>
  <si>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</si>
  <si>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</si>
  <si>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</si>
  <si>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</si>
  <si>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</si>
  <si>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</si>
  <si>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</si>
  <si>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</si>
  <si>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</si>
  <si>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</si>
  <si>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</si>
  <si>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</si>
  <si>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</si>
  <si>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</si>
  <si>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</si>
  <si>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</si>
  <si>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</si>
  <si>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</si>
  <si>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</si>
  <si>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</si>
  <si>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</si>
  <si>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</si>
  <si>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</si>
  <si>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</si>
  <si>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</si>
  <si>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</si>
  <si>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</si>
  <si>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</si>
  <si>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</si>
  <si>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</si>
  <si>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</si>
  <si>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</si>
  <si>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</si>
  <si>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</si>
  <si>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</si>
  <si>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</si>
  <si>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</si>
  <si>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</si>
  <si>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</si>
  <si>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</si>
  <si>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</si>
  <si>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</si>
  <si>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</si>
  <si>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</si>
  <si>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</si>
  <si>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</si>
  <si>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</si>
  <si>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</si>
  <si>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</si>
  <si>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</si>
  <si>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</si>
  <si>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</si>
  <si>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</si>
  <si>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</si>
  <si>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</si>
  <si>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</si>
  <si>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</si>
  <si>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</si>
  <si>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</si>
  <si>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Trimmed Average</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</si>
  <si>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</si>
  <si>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</si>
  <si>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</si>
  <si>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</si>
  <si>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</si>
  <si>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</si>
  <si>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</si>
  <si>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</si>
  <si>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</si>
  <si>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</si>
  <si>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</si>
  <si>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</si>
  <si>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</si>
  <si>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</si>
  <si>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</si>
  <si>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</si>
  <si>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</si>
  <si>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</si>
  <si>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</si>
  <si>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</si>
  <si>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</si>
  <si>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</si>
  <si>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</si>
  <si>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</si>
  <si>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</si>
  <si>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</si>
  <si>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</si>
  <si>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</si>
  <si>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</si>
  <si>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</si>
  <si>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</si>
  <si>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</si>
  <si>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</si>
  <si>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</si>
  <si>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</si>
  <si>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</si>
  <si>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</si>
  <si>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</si>
  <si>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</si>
  <si>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</si>
  <si>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</si>
  <si>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</si>
  <si>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</si>
  <si>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</si>
  <si>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</si>
  <si>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</si>
  <si>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</si>
  <si>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</si>
  <si>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</si>
  <si>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</si>
  <si>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</si>
  <si>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</si>
  <si>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</si>
  <si>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</si>
  <si>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</si>
  <si>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</si>
  <si>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</si>
  <si>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</si>
  <si>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</si>
  <si>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</si>
  <si>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</si>
  <si>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</si>
  <si>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</si>
  <si>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</si>
  <si>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</si>
  <si>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</si>
  <si>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</si>
  <si>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</si>
  <si>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</si>
  <si>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</si>
  <si>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</si>
  <si>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</si>
  <si>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</si>
  <si>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</si>
  <si>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</si>
  <si>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</si>
  <si>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</si>
  <si>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</si>
  <si>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</si>
  <si>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</si>
  <si>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</si>
  <si>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</si>
  <si>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</si>
  <si>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</si>
  <si>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</si>
  <si>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</si>
  <si>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</si>
  <si>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</si>
  <si>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</si>
  <si>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</si>
  <si>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</si>
  <si>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</si>
  <si>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</si>
  <si>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</si>
  <si>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</si>
  <si>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</si>
  <si>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P/E Ratio - Long Term Projection NOPAT</t>
  </si>
  <si>
    <t>CS+LTD +PS + OL</t>
  </si>
  <si>
    <t>&amp; Op Leases</t>
  </si>
  <si>
    <t xml:space="preserve">(6) &amp; (7) Business Valuation Resources, Cost of Capital Professional. (2023). Historical ERP, using arithmetic mean and 20-Year Treasury Securities. </t>
  </si>
  <si>
    <t>Earnings Growth = DY + EG</t>
  </si>
  <si>
    <t>Dividend Growth = DY + DG</t>
  </si>
  <si>
    <t>EG = Earnings Growth</t>
  </si>
  <si>
    <t>DG = Dividend Growth</t>
  </si>
  <si>
    <t>DY = Dividend Yield</t>
  </si>
  <si>
    <t>G = Projected Growth (Earnings Per Share 5 Yr Growth Rate)</t>
  </si>
  <si>
    <t>G = Projected Growth (Div. 5 Yr Growth Rate)</t>
  </si>
  <si>
    <t>Liquid Transportation Pipeline Carriers</t>
  </si>
  <si>
    <t>DCP Midstream LP</t>
  </si>
  <si>
    <t>DCP</t>
  </si>
  <si>
    <t>Pipeline MLPs</t>
  </si>
  <si>
    <t>Energy Transfer LP</t>
  </si>
  <si>
    <t>ET</t>
  </si>
  <si>
    <t>Enterprise Products Partnership LP</t>
  </si>
  <si>
    <t>EPD</t>
  </si>
  <si>
    <t>Hess Midstream LP</t>
  </si>
  <si>
    <t>HESM</t>
  </si>
  <si>
    <t>Holly Energy Partners LP</t>
  </si>
  <si>
    <t>HEP</t>
  </si>
  <si>
    <t>Magellan Midstream Partners LP</t>
  </si>
  <si>
    <t>MMP</t>
  </si>
  <si>
    <t>MPLX, LP</t>
  </si>
  <si>
    <t>MPLX</t>
  </si>
  <si>
    <t>NuStar Energy LP</t>
  </si>
  <si>
    <t>NS</t>
  </si>
  <si>
    <t>Plains All American Pipeline LP</t>
  </si>
  <si>
    <t>PAA</t>
  </si>
  <si>
    <t>Western Midstream Partners LP</t>
  </si>
  <si>
    <t>WES</t>
  </si>
  <si>
    <t xml:space="preserve">AmeriGas Partners (APU) - Primarily engaged in the marketing and distribution of propane.  Not applicable to fluid transportation pipeline services.  </t>
  </si>
  <si>
    <t>Andeavor Logistics LP - Removed, Was acquired by MPLX LP on July 30th, 2019. No longer listed on stock indexes.</t>
  </si>
  <si>
    <t xml:space="preserve">Antero Midstream Parters (AM) - Primarily gathers and processes natural gas (some oil).  Also engaged mid stream activities and hydro facturing &amp; processing.  Not applicable to fluid transportation pipeline services.  </t>
  </si>
  <si>
    <t>Boardwalk Pipeline  - Not Used.  No longer publicly traded.</t>
  </si>
  <si>
    <t>Buckeye Partners LP - Removed Acquired/merged by IFM investors. No longer publicly traded.</t>
  </si>
  <si>
    <t>EQM Midstream Partners (EQM) - EQM merged with Equitrans Midstream Corp 06/2020</t>
  </si>
  <si>
    <t>Enable Midstream acquired by Energy Transfer 2021</t>
  </si>
  <si>
    <t>Plains GP Holdings LP  (PAGP) - Not used.  See Plains All American</t>
  </si>
  <si>
    <t>Rattler Midstream -  No ValueLine sheet.</t>
  </si>
  <si>
    <t>Shell Midstream Partners LP (SHLX) - Owns transmission pipelines.  They own 2.6% of the explorer pipeline that is engaged in the transportation of oil products.  Colorado and Utah included this company.  No Valueline sheet.  Merged with Shell USA</t>
  </si>
  <si>
    <t xml:space="preserve">Suburban Propane (SPH) - Primarily engaged in the marketing and distribution of propane and fuel oil to retail customers.  Not applicable to fluid transportation pipeline services.  </t>
  </si>
  <si>
    <t xml:space="preserve">Spectra Energy Partners LP (SEP) and Spectra Energy Corp - Not used.  No longer publicly traded.    </t>
  </si>
  <si>
    <t xml:space="preserve">Summit Midstream Partners LP (SMLP)  - Main business is gathering and treating oil &amp; gas.  Montana included this company.  </t>
  </si>
  <si>
    <t xml:space="preserve">Tallgrass Energy Partners (TEP) and Tallgrass Energy GP, LP (TEGP) - Not used.  No longer publicly traded.    </t>
  </si>
  <si>
    <t>Valero Energy Partners (VLP) - Not Used.  No longer publicly traded. Acquired by Valero Energy Corp.</t>
  </si>
  <si>
    <t xml:space="preserve">Valero Energy Corp (VEC) - Acquired Valero Energy Part (VLP).  Not used.  Large refiner.  Does have some pipelines.  </t>
  </si>
  <si>
    <t>Companies to add to the study &gt;</t>
  </si>
  <si>
    <t xml:space="preserve">Hess Midstream LP (HESM) - Engaged in liquid transportation </t>
  </si>
  <si>
    <t xml:space="preserve">Western Midstream Partners LP (WES) - Owns and operates midstream pipelines in Rocky mountains, Texas, and North-Central PA.  Main business is gathering and treating oil &amp; gas.  Montana and Oregon included this company.  </t>
  </si>
  <si>
    <t>Companies to consider in the study &gt;</t>
  </si>
  <si>
    <t>Cheniere Energy Partners (CQP) - Engages in LNG business and related natural gas pipelines.   MLP</t>
  </si>
  <si>
    <t>Dec. 31, 2022</t>
  </si>
  <si>
    <t>Phillips 66 Partners LP (PSXP) - No longer publicly traded.  Removed from study.</t>
  </si>
  <si>
    <t>General Partner Units</t>
  </si>
  <si>
    <t>Baa1 / Ba2</t>
  </si>
  <si>
    <t>nmf</t>
  </si>
  <si>
    <t>C++</t>
  </si>
  <si>
    <t>C+</t>
  </si>
  <si>
    <t>Gross Book Value Equity</t>
  </si>
  <si>
    <t>GROSS REVENUE &amp; GROSS BOOK (EQUITY) MULTIPLES</t>
  </si>
  <si>
    <t>Per Unit **</t>
  </si>
  <si>
    <t>Multiple *</t>
  </si>
  <si>
    <t>* This multiple is applicable to service type companies, or those with few assets.  These companies sell at prices related to their revenues.</t>
  </si>
  <si>
    <t>** The book value, or common equity, per share is total owners' equity minus preferred stock divided by the number of common shares outstanding.</t>
  </si>
  <si>
    <t xml:space="preserve">Property, Plant &amp; Equipment includes CWIP, but should exclude intangibles and the associated amortization.  </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</si>
  <si>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</si>
  <si>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</si>
  <si>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</si>
  <si>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</si>
  <si>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</si>
  <si>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</si>
  <si>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</si>
  <si>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</si>
  <si>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</si>
  <si>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</si>
  <si>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</si>
  <si>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t>5 Yr  Dec 30 2022</t>
  </si>
  <si>
    <t>10 Yr  Dec 30 2022</t>
  </si>
  <si>
    <t>3.88 - 1.58 = 2.30</t>
  </si>
  <si>
    <t>20 Yr  Dec 30 2022</t>
  </si>
  <si>
    <t>4.14 - 1.61 = 2.53</t>
  </si>
  <si>
    <t>30 Yr  Dec 30 2022</t>
  </si>
  <si>
    <t>3.97 - 1.66 = 2.31</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</si>
  <si>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</si>
  <si>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</si>
  <si>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Mergent Rating</t>
  </si>
  <si>
    <t>Projected 1 Yr</t>
  </si>
  <si>
    <t>Earnings Per Share Growth Rate</t>
  </si>
  <si>
    <t>Estimated 20-22 to 26-28</t>
  </si>
  <si>
    <t xml:space="preserve">Risk Free Rate (Rf) </t>
  </si>
  <si>
    <t>Yield Equity Rate - DGM (Dividend Growth) &amp; DGM (Earnings Growth)  -- Gordon Growth</t>
  </si>
  <si>
    <t>Three Stage Ex Ante  Version 1  (1) (2)</t>
  </si>
  <si>
    <t>Three Stage Ex Ante  Version 2   (1) (2)</t>
  </si>
  <si>
    <t>Empirical CAPM - Ex Ante, Three Stage - V1</t>
  </si>
  <si>
    <t>Empirical CAPM - Ex Ante, Three Stage - V2</t>
  </si>
  <si>
    <t>CAPM - Ex Ante, Three Stage - V1</t>
  </si>
  <si>
    <t>CAPM - Ex Ante, Three Stage - V2</t>
  </si>
  <si>
    <t xml:space="preserve">(8) KROLL, Cost of Capital Navigator. (2023). </t>
  </si>
  <si>
    <t>Mean</t>
  </si>
  <si>
    <t>Harmonic Mean</t>
  </si>
  <si>
    <t xml:space="preserve">S&amp;P Rating </t>
  </si>
  <si>
    <t>Corporate 4th Qtr Avg</t>
  </si>
  <si>
    <t>Utility 4th Qtr Avg</t>
  </si>
  <si>
    <t>A market to book ratio over one would be an indication of no obsolescence.</t>
  </si>
  <si>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</si>
  <si>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</si>
  <si>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</si>
  <si>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</si>
  <si>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</si>
  <si>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</si>
  <si>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</si>
  <si>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</si>
  <si>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</si>
  <si>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CAPM - S&amp;P Global Market</t>
  </si>
  <si>
    <t>Empitical CAPM - S&amp;P Global Market</t>
  </si>
  <si>
    <t>Damodaran Implied ERP Ex Ante   Trailing 12 mo Cash Yield (3)</t>
  </si>
  <si>
    <t>Damodaran Implied ERP Ex Ante   Net Cash Yield (3)</t>
  </si>
  <si>
    <t>Damodaran Implied ERP Ex Ante   Norm. Earnings &amp; Payout (3)</t>
  </si>
  <si>
    <t>KROLL Ex Post  - ERP Historical (8)</t>
  </si>
  <si>
    <t>KROLL Ex Post - ERP Supply Side (8)</t>
  </si>
  <si>
    <t>KROLL Ex Ante - ERP Conditional (8)</t>
  </si>
  <si>
    <t>CAPM - Ex Ante  Damodaran 12 Mo Cash Yield</t>
  </si>
  <si>
    <t>CAPM - Ex Ante  Damodaran Net Cash Yield</t>
  </si>
  <si>
    <t>CAPM - Ex Ante  Damodaran NEP</t>
  </si>
  <si>
    <t>CAPM - Ex Post KROLL ERP Historical</t>
  </si>
  <si>
    <t>CAPM - Ex Post  KROLL ERP Supply Side</t>
  </si>
  <si>
    <t>CAPM - Ex Ante  KROLL ERP Conditional</t>
  </si>
  <si>
    <t>Empirical CAPM - Ex Ante  Damodaran 12 Mo Cash Yield</t>
  </si>
  <si>
    <t>Empirical CAPM - Ex Ante  Damodaran Net Cash Yield</t>
  </si>
  <si>
    <t>Empirical CAPM - Ex Ante  Damodaran NEP</t>
  </si>
  <si>
    <t>Empirical CAPM - Ex Post KROLL ERP Historical</t>
  </si>
  <si>
    <t>Empirical CAPM - Ex Post  KROLL ERP Supply Side</t>
  </si>
  <si>
    <t>Empirical CAPM - Ex Ante  KROLL ERP Conditional</t>
  </si>
  <si>
    <t>Damodaran Implied ERP Ex Ante   Avg CF Yield Last 10 Yrs (3)</t>
  </si>
  <si>
    <t>P. Fernandez, T. Garcia de Santos &amp; J.F.Acin  (5)</t>
  </si>
  <si>
    <t xml:space="preserve">(5) Fernandez, P., Garcia de Santos, T., &amp; Acin, J. F. (2022). Survey: Market Risk Premium and Risk-Free Rate Used for 95 Countries in 2022. 1591 US ERP only respondents.  SSRN Electronic Journal. </t>
  </si>
  <si>
    <t xml:space="preserve">(4) The CFO Survey (2022). Data &amp; Results December 2, 2022. Mean average annual S&amp;P return over next ten years (8.5%) less annual yield on 10-year Treasury Bonds. </t>
  </si>
  <si>
    <t>CAPM - Ex Ante  Damodaran Avg CF Yield Last 10 Yrs</t>
  </si>
  <si>
    <t>Empirical CAPM - Ex Ante  Damodaran Avg CF Yield Last 10 Yrs</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</si>
  <si>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</si>
  <si>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</si>
  <si>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</si>
  <si>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</si>
  <si>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</si>
  <si>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</si>
  <si>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</si>
  <si>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</si>
  <si>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</si>
  <si>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</si>
  <si>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Federal Reserve Bank of Philadelphia  /Survey of Professional Forecasters  Mean (3)</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</si>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</sst>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0.000"/>
    <numFmt numFmtId="168" formatCode="_(* #,##0.000_);_(* \(#,##0.000\);_(* &quot;-&quot;??_);_(@_)"/>
    <numFmt numFmtId="169" formatCode="0.000%"/>
    <numFmt numFmtId="170" formatCode="0.0000%"/>
  </numFmts>
  <fonts count="71">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1"/>
      <color theme="9" tint="-0.249977111117893"/>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rgb="FF0000CC"/>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color rgb="FF0000CC"/>
      <name val="Microsoft GothicNeo"/>
      <family val="2"/>
      <charset val="129"/>
    </font>
    <font>
      <sz val="12"/>
      <color rgb="FF000000"/>
      <name val="Microsoft GothicNeo"/>
      <family val="2"/>
      <charset val="129"/>
    </font>
    <font>
      <b/>
      <sz val="9"/>
      <color indexed="81"/>
      <name val="Tahoma"/>
      <family val="2"/>
    </font>
    <font>
      <sz val="11"/>
      <name val="Calibri"/>
      <family val="2"/>
      <scheme val="minor"/>
    </font>
    <font>
      <b/>
      <sz val="12"/>
      <color rgb="FF000000"/>
      <name val="Microsoft GothicNeo"/>
      <family val="2"/>
      <charset val="129"/>
    </font>
    <font>
      <sz val="12"/>
      <name val="Microsoft GothicNeo"/>
      <family val="2"/>
      <charset val="129"/>
    </font>
    <font>
      <b/>
      <i/>
      <sz val="14"/>
      <color theme="1"/>
      <name val="Calibri"/>
      <family val="2"/>
      <scheme val="minor"/>
    </font>
    <font>
      <u/>
      <sz val="11"/>
      <color rgb="FF0000CC"/>
      <name val="Calibri"/>
      <family val="2"/>
      <scheme val="minor"/>
    </font>
    <font>
      <b/>
      <sz val="9"/>
      <name val="Microsoft GothicNeo"/>
      <family val="2"/>
      <charset val="129"/>
    </font>
    <font>
      <b/>
      <sz val="18"/>
      <name val="Microsoft GothicNeo"/>
      <family val="2"/>
      <charset val="129"/>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86">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3" fontId="2" fillId="0" borderId="0" xfId="0" applyNumberFormat="1" applyFont="1"/>
    <xf numFmtId="167" fontId="15" fillId="2" borderId="0" xfId="0" applyNumberFormat="1" applyFont="1" applyFill="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6"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3" borderId="18" xfId="0" applyFont="1" applyFill="1" applyBorder="1" applyAlignment="1">
      <alignment horizontal="center"/>
    </xf>
    <xf numFmtId="0" fontId="19" fillId="3" borderId="20" xfId="0" applyFont="1" applyFill="1" applyBorder="1" applyAlignment="1">
      <alignment horizontal="center"/>
    </xf>
    <xf numFmtId="0" fontId="19" fillId="3" borderId="22" xfId="0" applyFont="1" applyFill="1" applyBorder="1" applyAlignment="1">
      <alignment horizontal="center"/>
    </xf>
    <xf numFmtId="0" fontId="37" fillId="3" borderId="18"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7" xfId="0" applyFont="1" applyBorder="1" applyAlignment="1">
      <alignment horizontal="center"/>
    </xf>
    <xf numFmtId="0" fontId="24" fillId="0" borderId="0" xfId="0" applyFont="1" applyAlignment="1">
      <alignment horizontal="center" vertical="center"/>
    </xf>
    <xf numFmtId="2" fontId="21" fillId="0" borderId="0" xfId="0" applyNumberFormat="1" applyFont="1" applyAlignment="1">
      <alignment horizontal="center"/>
    </xf>
    <xf numFmtId="0" fontId="19" fillId="0" borderId="4" xfId="0" applyFont="1" applyBorder="1"/>
    <xf numFmtId="2" fontId="22" fillId="0" borderId="0" xfId="0" applyNumberFormat="1" applyFont="1" applyAlignment="1">
      <alignment horizontal="right" vertical="center"/>
    </xf>
    <xf numFmtId="2" fontId="21" fillId="0" borderId="0" xfId="0" applyNumberFormat="1" applyFont="1"/>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7"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4" xfId="0" applyFont="1" applyBorder="1" applyAlignment="1">
      <alignment horizontal="center"/>
    </xf>
    <xf numFmtId="0" fontId="21" fillId="0" borderId="10"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4"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10" xfId="0" applyFont="1" applyBorder="1" applyAlignment="1">
      <alignment horizontal="center"/>
    </xf>
    <xf numFmtId="0" fontId="34" fillId="0" borderId="0" xfId="0" applyFont="1" applyAlignment="1">
      <alignment horizontal="center"/>
    </xf>
    <xf numFmtId="15" fontId="34" fillId="0" borderId="10" xfId="0" applyNumberFormat="1" applyFont="1" applyBorder="1" applyAlignment="1">
      <alignment horizontal="center"/>
    </xf>
    <xf numFmtId="15" fontId="34" fillId="0" borderId="0" xfId="0" quotePrefix="1" applyNumberFormat="1" applyFont="1" applyAlignment="1">
      <alignment horizontal="center"/>
    </xf>
    <xf numFmtId="0" fontId="22" fillId="0" borderId="10" xfId="0" applyFont="1" applyBorder="1" applyAlignment="1">
      <alignment horizontal="center"/>
    </xf>
    <xf numFmtId="0" fontId="38" fillId="0" borderId="10"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9" xfId="0" applyFont="1" applyBorder="1" applyAlignment="1">
      <alignment horizontal="center"/>
    </xf>
    <xf numFmtId="0" fontId="35" fillId="0" borderId="11" xfId="0" applyFont="1" applyBorder="1" applyAlignment="1">
      <alignment horizontal="center"/>
    </xf>
    <xf numFmtId="0" fontId="34" fillId="0" borderId="10" xfId="0" applyFont="1" applyBorder="1"/>
    <xf numFmtId="0" fontId="34" fillId="0" borderId="7" xfId="0" applyFont="1" applyBorder="1"/>
    <xf numFmtId="0" fontId="38" fillId="0" borderId="0" xfId="0" applyFont="1" applyAlignment="1">
      <alignment horizontal="center"/>
    </xf>
    <xf numFmtId="2" fontId="38" fillId="0" borderId="10" xfId="0" applyNumberFormat="1" applyFont="1" applyBorder="1" applyAlignment="1">
      <alignment horizontal="center"/>
    </xf>
    <xf numFmtId="3" fontId="38" fillId="0" borderId="0" xfId="0" applyNumberFormat="1" applyFont="1"/>
    <xf numFmtId="0" fontId="37" fillId="0" borderId="0" xfId="0" applyFont="1"/>
    <xf numFmtId="0" fontId="45"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2" xfId="0" applyFont="1" applyBorder="1"/>
    <xf numFmtId="15" fontId="34" fillId="0" borderId="13" xfId="0" quotePrefix="1" applyNumberFormat="1" applyFont="1" applyBorder="1" applyAlignment="1">
      <alignment horizontal="center"/>
    </xf>
    <xf numFmtId="0" fontId="38" fillId="0" borderId="13" xfId="0" applyFont="1" applyBorder="1" applyAlignment="1">
      <alignment horizontal="center"/>
    </xf>
    <xf numFmtId="0" fontId="34" fillId="0" borderId="14" xfId="0" applyFont="1" applyBorder="1" applyAlignment="1">
      <alignment horizontal="center"/>
    </xf>
    <xf numFmtId="0" fontId="35" fillId="0" borderId="15" xfId="0" applyFont="1" applyBorder="1" applyAlignment="1">
      <alignment horizontal="center"/>
    </xf>
    <xf numFmtId="0" fontId="34" fillId="0" borderId="13" xfId="0" applyFont="1" applyBorder="1"/>
    <xf numFmtId="164" fontId="38" fillId="0" borderId="0" xfId="1" applyNumberFormat="1" applyFont="1" applyFill="1" applyBorder="1"/>
    <xf numFmtId="10" fontId="38" fillId="0" borderId="0" xfId="2" applyNumberFormat="1" applyFont="1" applyFill="1" applyBorder="1"/>
    <xf numFmtId="10" fontId="38" fillId="0" borderId="13" xfId="2" applyNumberFormat="1" applyFont="1" applyFill="1" applyBorder="1"/>
    <xf numFmtId="0" fontId="37" fillId="0" borderId="8" xfId="0" applyFont="1" applyBorder="1"/>
    <xf numFmtId="0" fontId="37" fillId="0" borderId="14"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8" fillId="0" borderId="0" xfId="6" applyFont="1" applyFill="1" applyAlignment="1" applyProtection="1">
      <alignment horizontal="left" vertical="top"/>
    </xf>
    <xf numFmtId="0" fontId="20" fillId="0" borderId="0" xfId="0" applyFont="1" applyAlignment="1">
      <alignment horizontal="left" vertical="top"/>
    </xf>
    <xf numFmtId="0" fontId="48" fillId="0" borderId="0" xfId="6" applyFont="1" applyFill="1" applyAlignment="1" applyProtection="1"/>
    <xf numFmtId="0" fontId="20" fillId="0" borderId="0" xfId="0" applyFont="1" applyAlignment="1">
      <alignment vertical="top"/>
    </xf>
    <xf numFmtId="0" fontId="49" fillId="0" borderId="0" xfId="0" applyFont="1" applyAlignment="1">
      <alignment horizontal="left" vertical="top"/>
    </xf>
    <xf numFmtId="0" fontId="49"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50"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19" fillId="0" borderId="0" xfId="0" applyNumberFormat="1" applyFont="1"/>
    <xf numFmtId="0" fontId="18" fillId="0" borderId="0" xfId="6"/>
    <xf numFmtId="0" fontId="21" fillId="0" borderId="0" xfId="0" applyFont="1" applyAlignment="1">
      <alignment horizontal="left"/>
    </xf>
    <xf numFmtId="0" fontId="51"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2" xfId="0" applyFont="1" applyBorder="1"/>
    <xf numFmtId="0" fontId="21" fillId="0" borderId="8" xfId="0" applyFont="1" applyBorder="1" applyAlignment="1">
      <alignment horizontal="center" vertical="center"/>
    </xf>
    <xf numFmtId="0" fontId="28" fillId="0" borderId="34" xfId="0" applyFont="1" applyBorder="1" applyAlignment="1">
      <alignment horizontal="center" vertical="center" wrapText="1"/>
    </xf>
    <xf numFmtId="0" fontId="28" fillId="0" borderId="16" xfId="0" applyFont="1" applyBorder="1" applyAlignment="1">
      <alignment horizontal="center" vertical="center"/>
    </xf>
    <xf numFmtId="0" fontId="28" fillId="0" borderId="16" xfId="0" applyFont="1" applyBorder="1" applyAlignment="1">
      <alignment horizontal="center" vertical="center" wrapText="1"/>
    </xf>
    <xf numFmtId="0" fontId="28" fillId="0" borderId="32" xfId="0" applyFont="1" applyBorder="1" applyAlignment="1">
      <alignment horizontal="center" vertical="center"/>
    </xf>
    <xf numFmtId="0" fontId="34" fillId="0" borderId="16" xfId="0" applyFont="1" applyBorder="1" applyAlignment="1">
      <alignment horizontal="center" vertical="center"/>
    </xf>
    <xf numFmtId="0" fontId="53" fillId="0" borderId="0" xfId="0" applyFont="1"/>
    <xf numFmtId="0" fontId="28" fillId="0" borderId="7" xfId="0" applyFont="1" applyBorder="1" applyAlignment="1">
      <alignment horizontal="center" vertical="center"/>
    </xf>
    <xf numFmtId="0" fontId="34" fillId="0" borderId="2" xfId="0" applyFont="1" applyBorder="1" applyAlignment="1">
      <alignment horizontal="center" vertical="center"/>
    </xf>
    <xf numFmtId="0" fontId="51" fillId="0" borderId="33" xfId="0" applyFont="1" applyBorder="1"/>
    <xf numFmtId="0" fontId="19" fillId="0" borderId="27" xfId="0" applyFont="1" applyBorder="1"/>
    <xf numFmtId="0" fontId="19" fillId="0" borderId="26" xfId="0" applyFont="1" applyBorder="1"/>
    <xf numFmtId="0" fontId="34" fillId="0" borderId="29" xfId="0" applyFont="1" applyBorder="1"/>
    <xf numFmtId="0" fontId="34" fillId="0" borderId="31" xfId="0" applyFont="1" applyBorder="1"/>
    <xf numFmtId="10" fontId="38" fillId="0" borderId="25" xfId="2" applyNumberFormat="1" applyFont="1" applyFill="1" applyBorder="1" applyAlignment="1">
      <alignment horizontal="center"/>
    </xf>
    <xf numFmtId="0" fontId="34" fillId="0" borderId="20" xfId="0" applyFont="1" applyBorder="1"/>
    <xf numFmtId="10" fontId="38" fillId="0" borderId="26" xfId="2" applyNumberFormat="1" applyFont="1" applyFill="1" applyBorder="1" applyAlignment="1">
      <alignment horizontal="center"/>
    </xf>
    <xf numFmtId="0" fontId="34" fillId="0" borderId="22" xfId="0" applyFont="1" applyBorder="1"/>
    <xf numFmtId="0" fontId="34" fillId="0" borderId="1" xfId="0" applyFont="1" applyBorder="1"/>
    <xf numFmtId="10" fontId="38" fillId="0" borderId="27" xfId="2" applyNumberFormat="1" applyFont="1" applyFill="1" applyBorder="1" applyAlignment="1">
      <alignment horizontal="center"/>
    </xf>
    <xf numFmtId="10" fontId="38" fillId="0" borderId="26" xfId="2" applyNumberFormat="1" applyFont="1" applyBorder="1" applyAlignment="1">
      <alignment horizontal="center" vertical="center"/>
    </xf>
    <xf numFmtId="10" fontId="34" fillId="0" borderId="25" xfId="2" applyNumberFormat="1" applyFont="1" applyFill="1" applyBorder="1" applyAlignment="1">
      <alignment horizontal="center"/>
    </xf>
    <xf numFmtId="10" fontId="34" fillId="0" borderId="27" xfId="2" applyNumberFormat="1" applyFont="1" applyFill="1" applyBorder="1" applyAlignment="1">
      <alignment horizontal="center"/>
    </xf>
    <xf numFmtId="10" fontId="38" fillId="0" borderId="0" xfId="2" applyNumberFormat="1" applyFont="1" applyAlignment="1">
      <alignment horizontal="right" vertical="center"/>
    </xf>
    <xf numFmtId="43" fontId="38" fillId="0" borderId="0" xfId="1" applyFont="1" applyAlignment="1">
      <alignment horizontal="right" vertical="center"/>
    </xf>
    <xf numFmtId="43" fontId="38" fillId="0" borderId="0" xfId="1" applyFont="1" applyFill="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5" xfId="0" applyFont="1" applyBorder="1" applyAlignment="1">
      <alignment horizontal="center"/>
    </xf>
    <xf numFmtId="0" fontId="22" fillId="0" borderId="27"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4" xfId="0" applyBorder="1"/>
    <xf numFmtId="0" fontId="19" fillId="0" borderId="32" xfId="0" applyFont="1" applyBorder="1"/>
    <xf numFmtId="0" fontId="24" fillId="0" borderId="34" xfId="0" applyFont="1" applyBorder="1" applyAlignment="1">
      <alignment horizontal="right"/>
    </xf>
    <xf numFmtId="10" fontId="24" fillId="0" borderId="16" xfId="2" applyNumberFormat="1" applyFont="1" applyFill="1" applyBorder="1" applyAlignment="1">
      <alignment horizontal="center"/>
    </xf>
    <xf numFmtId="0" fontId="36" fillId="0" borderId="16" xfId="0" applyFont="1" applyBorder="1" applyAlignment="1">
      <alignment horizontal="center"/>
    </xf>
    <xf numFmtId="0" fontId="23" fillId="0" borderId="32" xfId="0" applyFont="1" applyBorder="1"/>
    <xf numFmtId="0" fontId="23" fillId="0" borderId="34" xfId="0" applyFont="1" applyBorder="1" applyAlignment="1">
      <alignment horizontal="right"/>
    </xf>
    <xf numFmtId="0" fontId="23" fillId="0" borderId="34" xfId="0" applyFont="1" applyBorder="1"/>
    <xf numFmtId="0" fontId="19" fillId="0" borderId="34"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3" xfId="2" applyNumberFormat="1" applyFont="1" applyBorder="1" applyAlignment="1">
      <alignment horizontal="center" vertical="center"/>
    </xf>
    <xf numFmtId="0" fontId="37" fillId="0" borderId="7" xfId="0" applyFont="1" applyBorder="1"/>
    <xf numFmtId="0" fontId="37" fillId="0" borderId="13" xfId="0" applyFont="1" applyBorder="1"/>
    <xf numFmtId="0" fontId="24" fillId="0" borderId="16" xfId="0" applyFont="1" applyBorder="1" applyAlignment="1">
      <alignment horizontal="center" vertical="center"/>
    </xf>
    <xf numFmtId="0" fontId="55" fillId="0" borderId="0" xfId="0" applyFont="1"/>
    <xf numFmtId="0" fontId="24" fillId="0" borderId="16" xfId="0" applyFont="1" applyBorder="1" applyAlignment="1">
      <alignment horizontal="right"/>
    </xf>
    <xf numFmtId="2" fontId="34" fillId="0" borderId="16"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30" xfId="0" applyFont="1" applyBorder="1"/>
    <xf numFmtId="0" fontId="34" fillId="0" borderId="21" xfId="0" applyFont="1" applyBorder="1"/>
    <xf numFmtId="0" fontId="34" fillId="0" borderId="23" xfId="0" applyFont="1" applyBorder="1"/>
    <xf numFmtId="10" fontId="38" fillId="3" borderId="26" xfId="2" applyNumberFormat="1" applyFont="1" applyFill="1" applyBorder="1" applyAlignment="1">
      <alignment horizontal="center"/>
    </xf>
    <xf numFmtId="0" fontId="19" fillId="0" borderId="24"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6" fillId="0" borderId="0" xfId="0" applyFont="1"/>
    <xf numFmtId="0" fontId="31" fillId="0" borderId="0" xfId="0" applyFont="1"/>
    <xf numFmtId="164" fontId="21" fillId="0" borderId="0" xfId="1" applyNumberFormat="1" applyFont="1" applyFill="1" applyAlignment="1">
      <alignment horizontal="center"/>
    </xf>
    <xf numFmtId="164" fontId="21" fillId="0" borderId="0" xfId="1" applyNumberFormat="1" applyFont="1" applyFill="1" applyAlignment="1"/>
    <xf numFmtId="2" fontId="24" fillId="0" borderId="16" xfId="0" applyNumberFormat="1" applyFont="1" applyBorder="1" applyAlignment="1">
      <alignment horizontal="center"/>
    </xf>
    <xf numFmtId="10" fontId="24" fillId="0" borderId="16" xfId="2" applyNumberFormat="1" applyFont="1" applyBorder="1" applyAlignment="1">
      <alignment horizontal="center"/>
    </xf>
    <xf numFmtId="2" fontId="24" fillId="0" borderId="16" xfId="0" applyNumberFormat="1" applyFont="1" applyBorder="1" applyAlignment="1">
      <alignment horizontal="center" vertical="center"/>
    </xf>
    <xf numFmtId="10" fontId="24" fillId="0" borderId="16" xfId="2" applyNumberFormat="1" applyFont="1" applyBorder="1" applyAlignment="1">
      <alignment horizontal="center" vertical="center"/>
    </xf>
    <xf numFmtId="10" fontId="38" fillId="0" borderId="27"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7" xfId="0" applyFont="1" applyBorder="1" applyAlignment="1">
      <alignment horizontal="center"/>
    </xf>
    <xf numFmtId="10" fontId="21" fillId="0" borderId="0" xfId="0" applyNumberFormat="1" applyFont="1" applyAlignment="1">
      <alignment horizontal="center"/>
    </xf>
    <xf numFmtId="0" fontId="21" fillId="0" borderId="2" xfId="0" quotePrefix="1" applyFont="1" applyBorder="1" applyAlignment="1">
      <alignment horizontal="center"/>
    </xf>
    <xf numFmtId="0" fontId="6" fillId="0" borderId="0" xfId="0" applyFont="1"/>
    <xf numFmtId="0" fontId="57" fillId="0" borderId="0" xfId="0" applyFont="1" applyAlignment="1">
      <alignment horizontal="center"/>
    </xf>
    <xf numFmtId="0" fontId="37" fillId="0" borderId="0" xfId="0" applyFont="1" applyAlignment="1">
      <alignment horizontal="left"/>
    </xf>
    <xf numFmtId="0" fontId="54" fillId="0" borderId="0" xfId="0" applyFont="1" applyAlignment="1">
      <alignment horizontal="left"/>
    </xf>
    <xf numFmtId="0" fontId="58" fillId="0" borderId="0" xfId="0" applyFont="1"/>
    <xf numFmtId="0" fontId="37" fillId="0" borderId="0" xfId="0" applyFont="1" applyAlignment="1">
      <alignment horizontal="right"/>
    </xf>
    <xf numFmtId="0" fontId="37" fillId="0" borderId="2" xfId="0" applyFont="1" applyBorder="1" applyAlignment="1">
      <alignment horizontal="center"/>
    </xf>
    <xf numFmtId="0" fontId="54" fillId="0" borderId="0" xfId="0" applyFont="1"/>
    <xf numFmtId="10" fontId="28" fillId="0" borderId="10" xfId="2" applyNumberFormat="1" applyFont="1" applyFill="1" applyBorder="1" applyAlignment="1">
      <alignment horizontal="center" vertical="center"/>
    </xf>
    <xf numFmtId="43" fontId="24" fillId="0" borderId="16" xfId="1" applyFont="1" applyBorder="1" applyAlignment="1">
      <alignment horizontal="center" vertical="center"/>
    </xf>
    <xf numFmtId="168" fontId="38" fillId="0" borderId="16" xfId="1" applyNumberFormat="1" applyFont="1" applyFill="1" applyBorder="1"/>
    <xf numFmtId="15" fontId="34" fillId="0" borderId="24" xfId="0" applyNumberFormat="1" applyFont="1" applyBorder="1" applyAlignment="1">
      <alignment horizontal="center"/>
    </xf>
    <xf numFmtId="15" fontId="34" fillId="0" borderId="12" xfId="0" applyNumberFormat="1" applyFont="1" applyBorder="1" applyAlignment="1">
      <alignment horizontal="center"/>
    </xf>
    <xf numFmtId="15" fontId="34" fillId="0" borderId="13" xfId="0" applyNumberFormat="1" applyFont="1" applyBorder="1" applyAlignment="1">
      <alignment horizontal="center"/>
    </xf>
    <xf numFmtId="0" fontId="34" fillId="0" borderId="13" xfId="0" applyFont="1" applyBorder="1" applyAlignment="1">
      <alignment horizontal="center"/>
    </xf>
    <xf numFmtId="0" fontId="53" fillId="0" borderId="0" xfId="0" applyFont="1" applyAlignment="1">
      <alignment horizontal="center" vertical="center"/>
    </xf>
    <xf numFmtId="0" fontId="53"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3" fillId="0" borderId="0" xfId="0" applyFont="1" applyAlignment="1">
      <alignment horizontal="right"/>
    </xf>
    <xf numFmtId="43" fontId="53" fillId="0" borderId="0" xfId="0" applyNumberFormat="1" applyFont="1"/>
    <xf numFmtId="2" fontId="53" fillId="0" borderId="0" xfId="0" applyNumberFormat="1" applyFont="1"/>
    <xf numFmtId="0" fontId="34" fillId="0" borderId="5" xfId="0" applyFont="1" applyBorder="1" applyAlignment="1">
      <alignment horizontal="center"/>
    </xf>
    <xf numFmtId="0" fontId="34" fillId="0" borderId="24" xfId="0" applyFont="1" applyBorder="1" applyAlignment="1">
      <alignment horizontal="center"/>
    </xf>
    <xf numFmtId="0" fontId="34" fillId="0" borderId="6" xfId="0" applyFont="1" applyBorder="1" applyAlignment="1">
      <alignment horizontal="center"/>
    </xf>
    <xf numFmtId="164" fontId="38" fillId="0" borderId="10" xfId="1" applyNumberFormat="1" applyFont="1" applyFill="1" applyBorder="1" applyAlignment="1">
      <alignment horizontal="center"/>
    </xf>
    <xf numFmtId="164" fontId="38" fillId="0" borderId="13" xfId="1" applyNumberFormat="1" applyFont="1" applyFill="1" applyBorder="1" applyAlignment="1">
      <alignment horizontal="center"/>
    </xf>
    <xf numFmtId="169" fontId="21" fillId="0" borderId="26" xfId="0" applyNumberFormat="1" applyFont="1" applyBorder="1" applyAlignment="1">
      <alignment horizontal="center" vertic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9" xfId="0" applyFont="1" applyBorder="1" applyAlignment="1">
      <alignment horizontal="center" vertical="center"/>
    </xf>
    <xf numFmtId="0" fontId="28" fillId="0" borderId="32" xfId="0" applyFont="1" applyBorder="1"/>
    <xf numFmtId="0" fontId="19" fillId="0" borderId="33" xfId="0" applyFont="1" applyBorder="1"/>
    <xf numFmtId="0" fontId="34" fillId="0" borderId="32" xfId="0" applyFont="1" applyBorder="1"/>
    <xf numFmtId="0" fontId="34" fillId="0" borderId="34" xfId="0" applyFont="1" applyBorder="1"/>
    <xf numFmtId="15" fontId="34" fillId="0" borderId="6" xfId="0" applyNumberFormat="1" applyFont="1" applyBorder="1" applyAlignment="1">
      <alignment horizontal="center"/>
    </xf>
    <xf numFmtId="15" fontId="34" fillId="0" borderId="24" xfId="0" quotePrefix="1" applyNumberFormat="1" applyFont="1" applyBorder="1" applyAlignment="1">
      <alignment horizontal="center"/>
    </xf>
    <xf numFmtId="15" fontId="34" fillId="0" borderId="0" xfId="0" applyNumberFormat="1" applyFont="1" applyAlignment="1">
      <alignment horizontal="center"/>
    </xf>
    <xf numFmtId="0" fontId="61" fillId="0" borderId="0" xfId="0" applyFont="1"/>
    <xf numFmtId="0" fontId="34" fillId="0" borderId="12" xfId="0" applyFont="1" applyBorder="1" applyAlignment="1">
      <alignment horizontal="center"/>
    </xf>
    <xf numFmtId="0" fontId="35" fillId="0" borderId="35" xfId="0" applyFont="1" applyBorder="1" applyAlignment="1">
      <alignment horizontal="center"/>
    </xf>
    <xf numFmtId="10" fontId="36" fillId="0" borderId="0" xfId="2" applyNumberFormat="1" applyFont="1" applyFill="1" applyBorder="1"/>
    <xf numFmtId="0" fontId="34" fillId="4" borderId="20" xfId="0" applyFont="1" applyFill="1" applyBorder="1"/>
    <xf numFmtId="0" fontId="38" fillId="4" borderId="20" xfId="0" applyFont="1" applyFill="1" applyBorder="1"/>
    <xf numFmtId="0" fontId="38" fillId="3" borderId="20" xfId="0" applyFont="1" applyFill="1" applyBorder="1"/>
    <xf numFmtId="0" fontId="62" fillId="0" borderId="0" xfId="0" applyFont="1" applyAlignment="1">
      <alignment horizontal="left" vertical="top" wrapText="1"/>
    </xf>
    <xf numFmtId="0" fontId="37" fillId="0" borderId="0" xfId="0" applyFont="1" applyAlignment="1">
      <alignment horizontal="left" vertical="center"/>
    </xf>
    <xf numFmtId="0" fontId="28" fillId="0" borderId="28" xfId="0" applyFont="1" applyBorder="1" applyAlignment="1">
      <alignment horizontal="center"/>
    </xf>
    <xf numFmtId="0" fontId="37" fillId="3" borderId="28" xfId="0" applyFont="1" applyFill="1" applyBorder="1" applyAlignment="1">
      <alignment horizontal="center"/>
    </xf>
    <xf numFmtId="0" fontId="37" fillId="3" borderId="26" xfId="0" applyFont="1" applyFill="1" applyBorder="1" applyAlignment="1">
      <alignment horizontal="center"/>
    </xf>
    <xf numFmtId="0" fontId="19" fillId="3" borderId="26" xfId="0" applyFont="1" applyFill="1" applyBorder="1" applyAlignment="1">
      <alignment horizontal="center"/>
    </xf>
    <xf numFmtId="0" fontId="37" fillId="3" borderId="27" xfId="0" applyFont="1" applyFill="1" applyBorder="1" applyAlignment="1">
      <alignment horizontal="center"/>
    </xf>
    <xf numFmtId="0" fontId="19" fillId="3" borderId="27" xfId="0" applyFont="1" applyFill="1" applyBorder="1" applyAlignment="1">
      <alignment horizontal="center"/>
    </xf>
    <xf numFmtId="43" fontId="24" fillId="0" borderId="0" xfId="1" applyFont="1" applyFill="1" applyBorder="1" applyAlignment="1">
      <alignment horizontal="center" vertical="center"/>
    </xf>
    <xf numFmtId="0" fontId="28" fillId="0" borderId="25" xfId="0" applyFont="1" applyBorder="1" applyAlignment="1">
      <alignment horizontal="center"/>
    </xf>
    <xf numFmtId="0" fontId="19" fillId="3" borderId="29" xfId="0" applyFont="1" applyFill="1" applyBorder="1" applyAlignment="1">
      <alignment horizontal="center"/>
    </xf>
    <xf numFmtId="0" fontId="19" fillId="3" borderId="30" xfId="0" applyFont="1" applyFill="1" applyBorder="1" applyAlignment="1">
      <alignment horizontal="center"/>
    </xf>
    <xf numFmtId="0" fontId="19" fillId="3" borderId="21" xfId="0" applyFont="1" applyFill="1" applyBorder="1" applyAlignment="1">
      <alignment horizontal="center"/>
    </xf>
    <xf numFmtId="0" fontId="19" fillId="3" borderId="23" xfId="0" applyFont="1" applyFill="1" applyBorder="1" applyAlignment="1">
      <alignment horizontal="center"/>
    </xf>
    <xf numFmtId="0" fontId="37" fillId="3" borderId="25" xfId="0" applyFont="1" applyFill="1" applyBorder="1" applyAlignment="1">
      <alignment horizontal="center"/>
    </xf>
    <xf numFmtId="1" fontId="22" fillId="0" borderId="0" xfId="0" applyNumberFormat="1" applyFont="1" applyAlignment="1">
      <alignment horizontal="center"/>
    </xf>
    <xf numFmtId="164" fontId="22" fillId="0" borderId="0" xfId="1" applyNumberFormat="1" applyFont="1" applyFill="1" applyAlignment="1">
      <alignment horizontal="center"/>
    </xf>
    <xf numFmtId="164" fontId="22" fillId="0" borderId="1" xfId="1" applyNumberFormat="1" applyFont="1" applyFill="1" applyBorder="1" applyAlignment="1">
      <alignment horizontal="center"/>
    </xf>
    <xf numFmtId="0" fontId="40" fillId="0" borderId="14" xfId="0" applyFont="1" applyBorder="1" applyAlignment="1">
      <alignment horizontal="center"/>
    </xf>
    <xf numFmtId="0" fontId="40" fillId="0" borderId="3" xfId="0" applyFont="1" applyBorder="1" applyAlignment="1">
      <alignment horizontal="center"/>
    </xf>
    <xf numFmtId="0" fontId="35" fillId="0" borderId="36" xfId="0" applyFont="1" applyBorder="1" applyAlignment="1">
      <alignment horizontal="center"/>
    </xf>
    <xf numFmtId="0" fontId="35" fillId="0" borderId="17" xfId="0" applyFont="1" applyBorder="1" applyAlignment="1">
      <alignment horizontal="center"/>
    </xf>
    <xf numFmtId="0" fontId="0" fillId="0" borderId="8" xfId="0" applyBorder="1"/>
    <xf numFmtId="0" fontId="0" fillId="0" borderId="14" xfId="0" applyBorder="1"/>
    <xf numFmtId="0" fontId="34" fillId="0" borderId="16" xfId="0" applyFont="1" applyBorder="1" applyAlignment="1">
      <alignment horizontal="right"/>
    </xf>
    <xf numFmtId="0" fontId="34" fillId="0" borderId="8" xfId="0" applyFont="1" applyBorder="1"/>
    <xf numFmtId="164" fontId="38" fillId="0" borderId="3" xfId="1" applyNumberFormat="1" applyFont="1" applyFill="1" applyBorder="1" applyAlignment="1">
      <alignment horizontal="center"/>
    </xf>
    <xf numFmtId="165" fontId="22" fillId="0" borderId="0" xfId="3" applyNumberFormat="1" applyFont="1" applyFill="1" applyAlignment="1">
      <alignment horizontal="right"/>
    </xf>
    <xf numFmtId="2" fontId="15" fillId="0" borderId="0" xfId="0" applyNumberFormat="1" applyFont="1" applyAlignment="1">
      <alignment horizontal="center"/>
    </xf>
    <xf numFmtId="2" fontId="15" fillId="0" borderId="4" xfId="0" applyNumberFormat="1" applyFont="1" applyBorder="1" applyAlignment="1">
      <alignment horizontal="center"/>
    </xf>
    <xf numFmtId="0" fontId="35" fillId="0" borderId="37" xfId="0" applyFont="1" applyBorder="1" applyAlignment="1">
      <alignment horizontal="center"/>
    </xf>
    <xf numFmtId="2" fontId="38" fillId="0" borderId="13" xfId="0" applyNumberFormat="1" applyFont="1" applyBorder="1" applyAlignment="1">
      <alignment horizontal="center"/>
    </xf>
    <xf numFmtId="164" fontId="46" fillId="0" borderId="0" xfId="1" applyNumberFormat="1" applyFont="1" applyFill="1" applyBorder="1"/>
    <xf numFmtId="164" fontId="0" fillId="0" borderId="0" xfId="1" applyNumberFormat="1" applyFont="1"/>
    <xf numFmtId="164" fontId="21" fillId="0" borderId="0" xfId="0" applyNumberFormat="1" applyFont="1" applyAlignment="1">
      <alignment horizontal="right"/>
    </xf>
    <xf numFmtId="10" fontId="24" fillId="0" borderId="32" xfId="2" applyNumberFormat="1" applyFont="1" applyFill="1" applyBorder="1" applyAlignment="1">
      <alignment horizontal="right"/>
    </xf>
    <xf numFmtId="10" fontId="24" fillId="0" borderId="34" xfId="0" applyNumberFormat="1" applyFont="1" applyBorder="1"/>
    <xf numFmtId="10" fontId="38" fillId="0" borderId="16" xfId="2" applyNumberFormat="1" applyFont="1" applyFill="1" applyBorder="1"/>
    <xf numFmtId="43" fontId="24" fillId="0" borderId="16" xfId="1" applyFont="1" applyFill="1" applyBorder="1" applyAlignment="1">
      <alignment horizontal="center" vertical="center"/>
    </xf>
    <xf numFmtId="0" fontId="0" fillId="0" borderId="6" xfId="0" applyBorder="1"/>
    <xf numFmtId="10" fontId="38" fillId="0" borderId="0" xfId="2" applyNumberFormat="1" applyFont="1" applyFill="1" applyBorder="1" applyAlignment="1">
      <alignment horizontal="right"/>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66" fontId="22" fillId="0" borderId="0" xfId="1" applyNumberFormat="1" applyFont="1" applyFill="1" applyAlignment="1">
      <alignment horizontal="center" vertical="center"/>
    </xf>
    <xf numFmtId="165" fontId="22" fillId="0" borderId="0" xfId="3" applyNumberFormat="1" applyFont="1" applyFill="1" applyAlignment="1">
      <alignment horizontal="center"/>
    </xf>
    <xf numFmtId="10" fontId="22" fillId="0" borderId="0" xfId="2" applyNumberFormat="1" applyFont="1" applyFill="1" applyAlignment="1">
      <alignment horizontal="right" vertical="center"/>
    </xf>
    <xf numFmtId="0" fontId="36" fillId="0" borderId="18" xfId="0" applyFont="1" applyBorder="1"/>
    <xf numFmtId="10" fontId="36" fillId="0" borderId="28" xfId="2" applyNumberFormat="1" applyFont="1" applyFill="1" applyBorder="1"/>
    <xf numFmtId="43" fontId="36" fillId="0" borderId="28" xfId="1" applyFont="1" applyFill="1" applyBorder="1"/>
    <xf numFmtId="0" fontId="36" fillId="0" borderId="28" xfId="0" applyFont="1" applyBorder="1"/>
    <xf numFmtId="2" fontId="36" fillId="0" borderId="28" xfId="0" applyNumberFormat="1" applyFont="1" applyBorder="1"/>
    <xf numFmtId="43" fontId="22" fillId="0" borderId="0" xfId="1" applyFont="1" applyFill="1" applyAlignment="1">
      <alignment horizont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10" fontId="23" fillId="0" borderId="16" xfId="2" applyNumberFormat="1" applyFont="1" applyFill="1" applyBorder="1"/>
    <xf numFmtId="10" fontId="23" fillId="0" borderId="16" xfId="2" applyNumberFormat="1" applyFont="1" applyFill="1" applyBorder="1" applyAlignment="1">
      <alignment horizontal="center"/>
    </xf>
    <xf numFmtId="0" fontId="64" fillId="0" borderId="0" xfId="0" applyFont="1"/>
    <xf numFmtId="0" fontId="19" fillId="0" borderId="23" xfId="0" applyFont="1" applyBorder="1"/>
    <xf numFmtId="0" fontId="0" fillId="0" borderId="33" xfId="0" applyBorder="1"/>
    <xf numFmtId="10" fontId="22" fillId="0" borderId="0" xfId="2" applyNumberFormat="1" applyFont="1" applyAlignment="1">
      <alignment horizontal="right"/>
    </xf>
    <xf numFmtId="10" fontId="22" fillId="0" borderId="4" xfId="2" applyNumberFormat="1" applyFont="1" applyFill="1" applyBorder="1" applyAlignment="1">
      <alignment horizontal="right"/>
    </xf>
    <xf numFmtId="10" fontId="22" fillId="0" borderId="4" xfId="2" applyNumberFormat="1" applyFont="1" applyBorder="1" applyAlignment="1">
      <alignment horizontal="right"/>
    </xf>
    <xf numFmtId="0" fontId="15" fillId="0" borderId="0" xfId="0" applyFont="1" applyAlignment="1">
      <alignment horizontal="center"/>
    </xf>
    <xf numFmtId="0" fontId="38" fillId="0" borderId="10" xfId="0" applyFont="1" applyBorder="1"/>
    <xf numFmtId="3" fontId="38" fillId="0" borderId="3" xfId="0" applyNumberFormat="1" applyFont="1" applyBorder="1"/>
    <xf numFmtId="3" fontId="38" fillId="0" borderId="14" xfId="0" applyNumberFormat="1" applyFont="1" applyBorder="1"/>
    <xf numFmtId="3" fontId="38" fillId="0" borderId="10" xfId="0" applyNumberFormat="1" applyFont="1" applyBorder="1"/>
    <xf numFmtId="3" fontId="38" fillId="0" borderId="13" xfId="0" applyNumberFormat="1" applyFont="1" applyBorder="1"/>
    <xf numFmtId="3" fontId="34" fillId="0" borderId="10" xfId="0" applyNumberFormat="1" applyFont="1" applyBorder="1"/>
    <xf numFmtId="3" fontId="65" fillId="0" borderId="10" xfId="0" applyNumberFormat="1" applyFont="1" applyBorder="1"/>
    <xf numFmtId="3" fontId="65" fillId="0" borderId="13" xfId="0" applyNumberFormat="1" applyFont="1" applyBorder="1" applyAlignment="1">
      <alignment horizontal="right" vertical="center" wrapText="1"/>
    </xf>
    <xf numFmtId="3" fontId="65" fillId="0" borderId="10" xfId="0" applyNumberFormat="1" applyFont="1" applyBorder="1" applyAlignment="1">
      <alignment horizontal="right" vertical="center" wrapText="1"/>
    </xf>
    <xf numFmtId="169" fontId="28" fillId="0" borderId="16" xfId="2" applyNumberFormat="1" applyFont="1" applyFill="1" applyBorder="1" applyAlignment="1">
      <alignment horizontal="center"/>
    </xf>
    <xf numFmtId="0" fontId="46" fillId="0" borderId="7" xfId="0" applyFont="1" applyBorder="1"/>
    <xf numFmtId="164" fontId="22" fillId="0" borderId="0" xfId="1" applyNumberFormat="1" applyFont="1" applyFill="1" applyAlignment="1"/>
    <xf numFmtId="164" fontId="22" fillId="0" borderId="1" xfId="1" applyNumberFormat="1" applyFont="1" applyFill="1" applyBorder="1" applyAlignment="1"/>
    <xf numFmtId="10" fontId="50" fillId="0" borderId="0" xfId="2" applyNumberFormat="1" applyFont="1" applyFill="1" applyBorder="1" applyAlignment="1">
      <alignment horizontal="right"/>
    </xf>
    <xf numFmtId="10" fontId="50" fillId="0" borderId="0" xfId="2" applyNumberFormat="1" applyFont="1" applyFill="1" applyBorder="1" applyAlignment="1">
      <alignment horizontal="center"/>
    </xf>
    <xf numFmtId="2" fontId="38" fillId="0" borderId="38" xfId="0" applyNumberFormat="1" applyFont="1" applyBorder="1" applyAlignment="1">
      <alignment horizontal="center"/>
    </xf>
    <xf numFmtId="43" fontId="22" fillId="0" borderId="1" xfId="1" applyFont="1" applyFill="1" applyBorder="1" applyAlignment="1"/>
    <xf numFmtId="43" fontId="22" fillId="0" borderId="1" xfId="1" applyFont="1" applyFill="1" applyBorder="1" applyAlignment="1">
      <alignment horizontal="right" vertical="center"/>
    </xf>
    <xf numFmtId="10" fontId="22" fillId="0" borderId="1" xfId="2" applyNumberFormat="1" applyFont="1" applyFill="1" applyBorder="1" applyAlignment="1">
      <alignment horizontal="right" vertical="center"/>
    </xf>
    <xf numFmtId="43" fontId="38" fillId="0" borderId="1" xfId="1" applyFont="1" applyBorder="1" applyAlignment="1">
      <alignment horizontal="right" vertical="center"/>
    </xf>
    <xf numFmtId="43" fontId="38" fillId="0" borderId="1" xfId="1" applyFont="1" applyFill="1" applyBorder="1" applyAlignment="1">
      <alignment horizontal="right" vertical="center"/>
    </xf>
    <xf numFmtId="0" fontId="21" fillId="0" borderId="1" xfId="0" applyFont="1" applyBorder="1" applyAlignment="1">
      <alignment horizontal="right"/>
    </xf>
    <xf numFmtId="10" fontId="22" fillId="0" borderId="1" xfId="2" applyNumberFormat="1" applyFont="1" applyBorder="1" applyAlignment="1">
      <alignment horizontal="right" vertical="center"/>
    </xf>
    <xf numFmtId="0" fontId="34" fillId="0" borderId="1" xfId="0" applyFont="1" applyBorder="1" applyAlignment="1">
      <alignment horizontal="right"/>
    </xf>
    <xf numFmtId="10" fontId="34" fillId="0" borderId="1" xfId="2" applyNumberFormat="1" applyFont="1" applyFill="1" applyBorder="1"/>
    <xf numFmtId="166" fontId="22" fillId="0" borderId="1" xfId="1" applyNumberFormat="1" applyFont="1" applyFill="1" applyBorder="1" applyAlignment="1">
      <alignment horizontal="center" vertical="center"/>
    </xf>
    <xf numFmtId="2" fontId="22" fillId="0" borderId="1" xfId="0" applyNumberFormat="1" applyFont="1" applyBorder="1" applyAlignment="1">
      <alignment horizontal="right" vertical="center"/>
    </xf>
    <xf numFmtId="2" fontId="0" fillId="0" borderId="0" xfId="0" applyNumberFormat="1"/>
    <xf numFmtId="10" fontId="52" fillId="0" borderId="0" xfId="2" applyNumberFormat="1" applyFont="1" applyFill="1" applyAlignment="1">
      <alignment horizontal="right"/>
    </xf>
    <xf numFmtId="10" fontId="52" fillId="0" borderId="0" xfId="2" applyNumberFormat="1" applyFont="1" applyAlignment="1">
      <alignment horizontal="right"/>
    </xf>
    <xf numFmtId="10" fontId="52" fillId="0" borderId="4" xfId="2" applyNumberFormat="1" applyFont="1" applyBorder="1" applyAlignment="1">
      <alignment horizontal="right"/>
    </xf>
    <xf numFmtId="10" fontId="42" fillId="0" borderId="0" xfId="2" applyNumberFormat="1" applyFont="1" applyFill="1" applyAlignment="1">
      <alignment horizontal="right"/>
    </xf>
    <xf numFmtId="10" fontId="52" fillId="0" borderId="4" xfId="2" applyNumberFormat="1" applyFont="1" applyFill="1" applyBorder="1" applyAlignment="1">
      <alignment horizontal="center"/>
    </xf>
    <xf numFmtId="10" fontId="52" fillId="0" borderId="0" xfId="2" applyNumberFormat="1" applyFont="1" applyFill="1" applyAlignment="1">
      <alignment horizontal="center"/>
    </xf>
    <xf numFmtId="10" fontId="27" fillId="0" borderId="0" xfId="2" applyNumberFormat="1" applyFont="1" applyFill="1" applyAlignment="1">
      <alignment horizontal="center"/>
    </xf>
    <xf numFmtId="0" fontId="66" fillId="0" borderId="10" xfId="0" applyFont="1" applyBorder="1"/>
    <xf numFmtId="0" fontId="28" fillId="0" borderId="8" xfId="0" applyFont="1" applyBorder="1" applyAlignment="1">
      <alignment horizontal="center" vertical="center"/>
    </xf>
    <xf numFmtId="0" fontId="19" fillId="0" borderId="0" xfId="0" applyFont="1" applyAlignment="1">
      <alignment horizontal="right"/>
    </xf>
    <xf numFmtId="0" fontId="46" fillId="0" borderId="10" xfId="0" applyFont="1" applyBorder="1"/>
    <xf numFmtId="0" fontId="46" fillId="0" borderId="3" xfId="0" applyFont="1" applyBorder="1"/>
    <xf numFmtId="10" fontId="28" fillId="0" borderId="0" xfId="2" applyNumberFormat="1" applyFont="1" applyFill="1" applyBorder="1" applyAlignment="1">
      <alignment horizontal="center" vertical="center"/>
    </xf>
    <xf numFmtId="10" fontId="28" fillId="0" borderId="2" xfId="2" applyNumberFormat="1" applyFont="1" applyBorder="1" applyAlignment="1">
      <alignment horizontal="center" vertical="center"/>
    </xf>
    <xf numFmtId="0" fontId="19" fillId="0" borderId="21" xfId="0" applyFont="1" applyBorder="1"/>
    <xf numFmtId="169" fontId="21" fillId="0" borderId="21" xfId="0" applyNumberFormat="1" applyFont="1" applyBorder="1" applyAlignment="1">
      <alignment horizontal="center" vertical="center"/>
    </xf>
    <xf numFmtId="10" fontId="28" fillId="0" borderId="0" xfId="2" applyNumberFormat="1" applyFont="1" applyAlignment="1">
      <alignment horizontal="left"/>
    </xf>
    <xf numFmtId="10" fontId="23" fillId="0" borderId="0" xfId="2" applyNumberFormat="1" applyFont="1" applyFill="1" applyAlignment="1">
      <alignment horizontal="center"/>
    </xf>
    <xf numFmtId="0" fontId="67" fillId="0" borderId="0" xfId="0" applyFont="1"/>
    <xf numFmtId="10" fontId="34" fillId="0" borderId="26" xfId="2" applyNumberFormat="1" applyFont="1" applyFill="1" applyBorder="1" applyAlignment="1">
      <alignment horizontal="center"/>
    </xf>
    <xf numFmtId="0" fontId="18" fillId="0" borderId="0" xfId="6" applyFill="1" applyAlignment="1" applyProtection="1"/>
    <xf numFmtId="0" fontId="68" fillId="0" borderId="0" xfId="6" applyFont="1" applyFill="1" applyAlignment="1" applyProtection="1"/>
    <xf numFmtId="0" fontId="21" fillId="0" borderId="29" xfId="0" applyFont="1" applyBorder="1" applyAlignment="1">
      <alignment horizontal="right"/>
    </xf>
    <xf numFmtId="0" fontId="21" fillId="0" borderId="30" xfId="0" applyFont="1" applyBorder="1" applyAlignment="1">
      <alignment horizontal="left"/>
    </xf>
    <xf numFmtId="0" fontId="21" fillId="0" borderId="20" xfId="0" applyFont="1" applyBorder="1" applyAlignment="1">
      <alignment horizontal="right"/>
    </xf>
    <xf numFmtId="0" fontId="21" fillId="0" borderId="21" xfId="0" applyFont="1" applyBorder="1" applyAlignment="1">
      <alignment horizontal="left"/>
    </xf>
    <xf numFmtId="0" fontId="21" fillId="0" borderId="22" xfId="0" applyFont="1" applyBorder="1" applyAlignment="1">
      <alignment horizontal="right"/>
    </xf>
    <xf numFmtId="0" fontId="21" fillId="0" borderId="23" xfId="0" applyFont="1" applyBorder="1" applyAlignment="1">
      <alignment horizontal="left"/>
    </xf>
    <xf numFmtId="169" fontId="34" fillId="0" borderId="27" xfId="2" applyNumberFormat="1" applyFont="1" applyFill="1" applyBorder="1" applyAlignment="1">
      <alignment horizontal="center"/>
    </xf>
    <xf numFmtId="10" fontId="47" fillId="0" borderId="16" xfId="2" applyNumberFormat="1" applyFont="1" applyFill="1" applyBorder="1" applyAlignment="1">
      <alignment horizontal="center"/>
    </xf>
    <xf numFmtId="10" fontId="22" fillId="0" borderId="10" xfId="2" applyNumberFormat="1" applyFont="1" applyFill="1" applyBorder="1" applyAlignment="1">
      <alignment horizontal="center"/>
    </xf>
    <xf numFmtId="10" fontId="22" fillId="0" borderId="10" xfId="1" applyNumberFormat="1" applyFont="1" applyFill="1" applyBorder="1" applyAlignment="1">
      <alignment horizontal="center"/>
    </xf>
    <xf numFmtId="2" fontId="38" fillId="0" borderId="7" xfId="0" applyNumberFormat="1" applyFont="1" applyBorder="1" applyAlignment="1">
      <alignment horizontal="center"/>
    </xf>
    <xf numFmtId="2" fontId="38" fillId="0" borderId="3" xfId="0" applyNumberFormat="1" applyFont="1" applyBorder="1" applyAlignment="1">
      <alignment horizontal="center"/>
    </xf>
    <xf numFmtId="2" fontId="38" fillId="0" borderId="8" xfId="0" applyNumberFormat="1" applyFont="1" applyBorder="1" applyAlignment="1">
      <alignment horizontal="center"/>
    </xf>
    <xf numFmtId="2" fontId="38" fillId="0" borderId="2" xfId="0" applyNumberFormat="1" applyFont="1" applyBorder="1" applyAlignment="1">
      <alignment horizontal="center"/>
    </xf>
    <xf numFmtId="2" fontId="38" fillId="0" borderId="14" xfId="0" applyNumberFormat="1" applyFont="1" applyBorder="1" applyAlignment="1">
      <alignment horizontal="center"/>
    </xf>
    <xf numFmtId="0" fontId="38" fillId="0" borderId="18" xfId="0" applyFont="1" applyBorder="1"/>
    <xf numFmtId="10" fontId="38" fillId="0" borderId="28" xfId="2" applyNumberFormat="1" applyFont="1" applyFill="1" applyBorder="1" applyAlignment="1">
      <alignment horizontal="center"/>
    </xf>
    <xf numFmtId="0" fontId="28" fillId="0" borderId="3" xfId="0" applyFont="1" applyBorder="1" applyAlignment="1">
      <alignment horizontal="center"/>
    </xf>
    <xf numFmtId="2" fontId="52" fillId="0" borderId="0" xfId="0" applyNumberFormat="1" applyFont="1" applyAlignment="1">
      <alignment horizontal="right"/>
    </xf>
    <xf numFmtId="0" fontId="19" fillId="0" borderId="4" xfId="0" applyFont="1" applyBorder="1" applyAlignment="1">
      <alignment horizontal="right"/>
    </xf>
    <xf numFmtId="0" fontId="21" fillId="0" borderId="39" xfId="0" applyFont="1" applyBorder="1" applyAlignment="1">
      <alignment horizontal="center"/>
    </xf>
    <xf numFmtId="0" fontId="21" fillId="0" borderId="40" xfId="0" applyFont="1" applyBorder="1" applyAlignment="1">
      <alignment horizontal="center"/>
    </xf>
    <xf numFmtId="0" fontId="30" fillId="0" borderId="22" xfId="0" applyFont="1" applyBorder="1" applyAlignment="1">
      <alignment horizontal="center"/>
    </xf>
    <xf numFmtId="0" fontId="21" fillId="0" borderId="20" xfId="0" applyFont="1" applyBorder="1" applyAlignment="1">
      <alignment horizontal="center"/>
    </xf>
    <xf numFmtId="0" fontId="19" fillId="0" borderId="20" xfId="0" applyFont="1" applyBorder="1"/>
    <xf numFmtId="44" fontId="52" fillId="0" borderId="20" xfId="3" applyFont="1" applyFill="1" applyBorder="1" applyAlignment="1">
      <alignment horizontal="center"/>
    </xf>
    <xf numFmtId="44" fontId="22" fillId="0" borderId="20" xfId="3" applyFont="1" applyFill="1" applyBorder="1" applyAlignment="1">
      <alignment horizontal="center"/>
    </xf>
    <xf numFmtId="0" fontId="19" fillId="0" borderId="41" xfId="0" applyFont="1" applyBorder="1"/>
    <xf numFmtId="2" fontId="22" fillId="0" borderId="20" xfId="0" applyNumberFormat="1" applyFont="1" applyBorder="1" applyAlignment="1">
      <alignment horizontal="right" vertical="center"/>
    </xf>
    <xf numFmtId="2" fontId="22" fillId="0" borderId="22" xfId="0" applyNumberFormat="1" applyFont="1" applyBorder="1" applyAlignment="1">
      <alignment horizontal="right" vertical="center"/>
    </xf>
    <xf numFmtId="2" fontId="21" fillId="0" borderId="20" xfId="0" applyNumberFormat="1" applyFont="1" applyBorder="1" applyAlignment="1">
      <alignment horizontal="right"/>
    </xf>
    <xf numFmtId="43" fontId="21" fillId="0" borderId="20" xfId="1" applyFont="1" applyFill="1" applyBorder="1" applyAlignment="1">
      <alignment horizontal="right"/>
    </xf>
    <xf numFmtId="43" fontId="24" fillId="0" borderId="0" xfId="1" applyFont="1" applyBorder="1" applyAlignment="1">
      <alignment horizontal="center" vertical="center"/>
    </xf>
    <xf numFmtId="0" fontId="0" fillId="0" borderId="4" xfId="0" applyBorder="1"/>
    <xf numFmtId="0" fontId="34" fillId="4" borderId="39" xfId="0" applyFont="1" applyFill="1" applyBorder="1"/>
    <xf numFmtId="10" fontId="38" fillId="4" borderId="39" xfId="2" applyNumberFormat="1" applyFont="1" applyFill="1" applyBorder="1" applyAlignment="1">
      <alignment horizontal="center"/>
    </xf>
    <xf numFmtId="10" fontId="38" fillId="4" borderId="20" xfId="2" applyNumberFormat="1" applyFont="1" applyFill="1" applyBorder="1" applyAlignment="1">
      <alignment horizontal="center"/>
    </xf>
    <xf numFmtId="10" fontId="19" fillId="0" borderId="20" xfId="2" applyNumberFormat="1" applyFont="1" applyFill="1" applyBorder="1"/>
    <xf numFmtId="10" fontId="19" fillId="0" borderId="20" xfId="0" applyNumberFormat="1" applyFont="1" applyBorder="1"/>
    <xf numFmtId="0" fontId="38" fillId="3" borderId="22" xfId="0" applyFont="1" applyFill="1" applyBorder="1"/>
    <xf numFmtId="10" fontId="38" fillId="3" borderId="27" xfId="2" applyNumberFormat="1" applyFont="1" applyFill="1" applyBorder="1" applyAlignment="1">
      <alignment horizontal="center"/>
    </xf>
    <xf numFmtId="0" fontId="69" fillId="0" borderId="24" xfId="0" applyFont="1" applyBorder="1" applyAlignment="1">
      <alignment horizontal="center" wrapText="1"/>
    </xf>
    <xf numFmtId="10" fontId="22" fillId="0" borderId="24"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4" xfId="1" applyNumberFormat="1" applyFont="1" applyFill="1" applyBorder="1" applyAlignment="1">
      <alignment horizontal="center"/>
    </xf>
    <xf numFmtId="0" fontId="64" fillId="0" borderId="24" xfId="0" applyFont="1" applyBorder="1"/>
    <xf numFmtId="0" fontId="64" fillId="0" borderId="10" xfId="0" applyFont="1" applyBorder="1"/>
    <xf numFmtId="0" fontId="64" fillId="0" borderId="3" xfId="0" applyFont="1" applyBorder="1"/>
    <xf numFmtId="0" fontId="64" fillId="0" borderId="16" xfId="0" applyFont="1" applyBorder="1"/>
    <xf numFmtId="0" fontId="19" fillId="0" borderId="8" xfId="0" applyFont="1" applyBorder="1"/>
    <xf numFmtId="0" fontId="19" fillId="0" borderId="14" xfId="0" applyFont="1" applyBorder="1"/>
    <xf numFmtId="10" fontId="38" fillId="4" borderId="26" xfId="2" applyNumberFormat="1" applyFont="1" applyFill="1" applyBorder="1" applyAlignment="1">
      <alignment horizontal="center"/>
    </xf>
    <xf numFmtId="10" fontId="38" fillId="4" borderId="27" xfId="2" applyNumberFormat="1" applyFont="1" applyFill="1" applyBorder="1" applyAlignment="1">
      <alignment horizontal="center"/>
    </xf>
    <xf numFmtId="0" fontId="38" fillId="4" borderId="27" xfId="0" applyFont="1" applyFill="1" applyBorder="1"/>
    <xf numFmtId="0" fontId="38" fillId="3" borderId="26" xfId="0" applyFont="1" applyFill="1" applyBorder="1"/>
    <xf numFmtId="10" fontId="70" fillId="0" borderId="0" xfId="2" applyNumberFormat="1" applyFont="1" applyFill="1" applyAlignment="1">
      <alignment horizontal="center"/>
    </xf>
    <xf numFmtId="169" fontId="34" fillId="0" borderId="25" xfId="2" applyNumberFormat="1" applyFont="1" applyFill="1" applyBorder="1" applyAlignment="1">
      <alignment horizontal="center"/>
    </xf>
    <xf numFmtId="10" fontId="24" fillId="0" borderId="16" xfId="2" applyNumberFormat="1" applyFont="1" applyFill="1" applyBorder="1" applyAlignment="1">
      <alignment horizontal="center" vertical="center"/>
    </xf>
    <xf numFmtId="170" fontId="28" fillId="0" borderId="16" xfId="2" applyNumberFormat="1" applyFont="1" applyFill="1" applyBorder="1" applyAlignment="1">
      <alignment horizontal="center"/>
    </xf>
    <xf numFmtId="10" fontId="43" fillId="0" borderId="16" xfId="2"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xf numFmtId="0" fontId="0" fillId="0" borderId="20" xfId="0" applyBorder="1"/>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257175</xdr:colOff>
      <xdr:row>40</xdr:row>
      <xdr:rowOff>57150</xdr:rowOff>
    </xdr:to>
    <xdr:pic>
      <xdr:nvPicPr>
        <xdr:cNvPr id="4" name="Picture 3">
          <a:extLst>
            <a:ext uri="{FF2B5EF4-FFF2-40B4-BE49-F238E27FC236}">
              <a16:creationId xmlns:a16="http://schemas.microsoft.com/office/drawing/2014/main" id="{A5758C1F-4221-0357-DFEB-6C79A8E04851}"/>
            </a:ext>
          </a:extLst>
        </xdr:cNvPr>
        <xdr:cNvPicPr>
          <a:picLocks noChangeAspect="1"/>
        </xdr:cNvPicPr>
      </xdr:nvPicPr>
      <xdr:blipFill>
        <a:blip xmlns:r="http://schemas.openxmlformats.org/officeDocument/2006/relationships" r:embed="rId1"/>
        <a:stretch>
          <a:fillRect/>
        </a:stretch>
      </xdr:blipFill>
      <xdr:spPr>
        <a:xfrm>
          <a:off x="9753600" y="190500"/>
          <a:ext cx="5743575" cy="7486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A17" sqref="A17:I17"/>
    </sheetView>
  </sheetViews>
  <sheetFormatPr defaultRowHeight="15"/>
  <cols>
    <col min="5" max="5" width="12.28515625" customWidth="1"/>
    <col min="9" max="9" width="16.42578125" customWidth="1"/>
  </cols>
  <sheetData>
    <row r="1" spans="1:13" ht="18.75">
      <c r="A1" s="478" t="s">
        <v>0</v>
      </c>
      <c r="B1" s="479"/>
      <c r="C1" s="479"/>
      <c r="D1" s="479"/>
      <c r="E1" s="479"/>
      <c r="F1" s="479"/>
      <c r="G1" s="479"/>
      <c r="H1" s="479"/>
      <c r="I1" s="479"/>
    </row>
    <row r="5" spans="1:13" ht="27">
      <c r="E5" s="480" t="s">
        <v>0</v>
      </c>
      <c r="F5" s="481"/>
      <c r="G5" s="481"/>
      <c r="H5" s="481"/>
      <c r="I5" s="481"/>
      <c r="J5" s="481"/>
      <c r="K5" s="481"/>
      <c r="L5" s="481"/>
      <c r="M5" s="481"/>
    </row>
    <row r="7" spans="1:13" ht="27">
      <c r="A7" s="482" t="s">
        <v>31</v>
      </c>
      <c r="B7" s="483"/>
      <c r="C7" s="483"/>
      <c r="D7" s="483"/>
      <c r="E7" s="483"/>
      <c r="F7" s="483"/>
      <c r="G7" s="483"/>
      <c r="H7" s="483"/>
      <c r="I7" s="483"/>
    </row>
    <row r="8" spans="1:13" ht="27">
      <c r="A8" s="6"/>
      <c r="B8" s="7"/>
      <c r="C8" s="7"/>
      <c r="D8" s="7"/>
      <c r="E8" s="480" t="s">
        <v>0</v>
      </c>
      <c r="F8" s="481"/>
      <c r="G8" s="481"/>
      <c r="H8" s="481"/>
      <c r="I8" s="481"/>
      <c r="J8" s="481"/>
      <c r="K8" s="481"/>
      <c r="L8" s="481"/>
      <c r="M8" s="481"/>
    </row>
    <row r="9" spans="1:13" ht="27">
      <c r="A9" s="480" t="s">
        <v>76</v>
      </c>
      <c r="B9" s="481"/>
      <c r="C9" s="481"/>
      <c r="D9" s="481"/>
      <c r="E9" s="481"/>
      <c r="F9" s="481"/>
      <c r="G9" s="481"/>
      <c r="H9" s="481"/>
      <c r="I9" s="481"/>
    </row>
    <row r="15" spans="1:13">
      <c r="A15" s="475" t="s">
        <v>0</v>
      </c>
      <c r="B15" s="476"/>
      <c r="C15" s="476"/>
      <c r="D15" s="476"/>
      <c r="E15" s="476"/>
      <c r="F15" s="476"/>
      <c r="G15" s="476"/>
      <c r="H15" s="476"/>
      <c r="I15" s="476"/>
    </row>
    <row r="16" spans="1:13" ht="33.75">
      <c r="A16" s="473" t="str">
        <f>+'S&amp;D'!A12</f>
        <v>Liquid Transportation Pipeline Carriers</v>
      </c>
      <c r="B16" s="474"/>
      <c r="C16" s="474"/>
      <c r="D16" s="474"/>
      <c r="E16" s="474"/>
      <c r="F16" s="474"/>
      <c r="G16" s="474"/>
      <c r="H16" s="474"/>
      <c r="I16" s="474"/>
    </row>
    <row r="17" spans="1:9">
      <c r="A17" s="475" t="s">
        <v>0</v>
      </c>
      <c r="B17" s="476"/>
      <c r="C17" s="476"/>
      <c r="D17" s="476"/>
      <c r="E17" s="476"/>
      <c r="F17" s="476"/>
      <c r="G17" s="476"/>
      <c r="H17" s="476"/>
      <c r="I17" s="476"/>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75" t="s">
        <v>0</v>
      </c>
      <c r="B29" s="476"/>
      <c r="C29" s="476"/>
      <c r="D29" s="476"/>
      <c r="E29" s="476"/>
      <c r="F29" s="476"/>
      <c r="G29" s="476"/>
      <c r="H29" s="476"/>
      <c r="I29" s="476"/>
    </row>
    <row r="34" spans="1:9">
      <c r="A34" s="477"/>
      <c r="B34" s="477"/>
      <c r="C34" s="477"/>
      <c r="D34" s="477"/>
      <c r="E34" s="477"/>
      <c r="F34" s="477"/>
      <c r="G34" s="477"/>
      <c r="H34" s="477"/>
      <c r="I34" s="477"/>
    </row>
    <row r="35" spans="1:9">
      <c r="A35" s="477"/>
      <c r="B35" s="477"/>
      <c r="C35" s="477"/>
      <c r="D35" s="477"/>
      <c r="E35" s="477"/>
      <c r="F35" s="477"/>
      <c r="G35" s="477"/>
      <c r="H35" s="477"/>
      <c r="I35" s="477"/>
    </row>
    <row r="36" spans="1:9">
      <c r="A36" s="477"/>
      <c r="B36" s="477"/>
      <c r="C36" s="477"/>
      <c r="D36" s="477"/>
      <c r="E36" s="477"/>
      <c r="F36" s="477"/>
      <c r="G36" s="477"/>
      <c r="H36" s="477"/>
      <c r="I36" s="477"/>
    </row>
    <row r="37" spans="1:9">
      <c r="A37" s="477"/>
      <c r="B37" s="477"/>
      <c r="C37" s="477"/>
      <c r="D37" s="477"/>
      <c r="E37" s="477"/>
      <c r="F37" s="477"/>
      <c r="G37" s="477"/>
      <c r="H37" s="477"/>
      <c r="I37" s="477"/>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L37"/>
  <sheetViews>
    <sheetView view="pageBreakPreview" zoomScale="70" zoomScaleNormal="80" zoomScaleSheetLayoutView="70" workbookViewId="0">
      <selection activeCell="J35" sqref="J35"/>
    </sheetView>
  </sheetViews>
  <sheetFormatPr defaultRowHeight="15"/>
  <cols>
    <col min="1" max="1" width="48.28515625" customWidth="1"/>
    <col min="2" max="2" width="10.85546875" bestFit="1" customWidth="1"/>
    <col min="3" max="3" width="23"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 min="12" max="12" width="14.85546875" bestFit="1"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26" t="s">
        <v>0</v>
      </c>
      <c r="G5" s="26"/>
      <c r="H5" s="12"/>
      <c r="I5" s="12"/>
      <c r="J5" s="12"/>
      <c r="K5" s="12"/>
    </row>
    <row r="6" spans="1:11" ht="18.75" thickBot="1">
      <c r="A6" s="285" t="str">
        <f>+'S&amp;D'!A12</f>
        <v>Liquid Transportation Pipeline Carriers</v>
      </c>
      <c r="B6" s="211"/>
      <c r="C6" s="12"/>
      <c r="D6" s="28"/>
      <c r="E6" s="28"/>
      <c r="F6" s="28"/>
      <c r="G6" s="12"/>
      <c r="H6" s="12"/>
      <c r="I6" s="12"/>
      <c r="J6" s="12"/>
      <c r="K6" s="12"/>
    </row>
    <row r="7" spans="1:11" ht="20.25">
      <c r="A7" s="30"/>
      <c r="B7" s="12"/>
      <c r="C7" s="12"/>
      <c r="D7" s="12"/>
      <c r="E7" s="31" t="s">
        <v>195</v>
      </c>
      <c r="F7" s="12"/>
      <c r="G7" s="12"/>
      <c r="H7" s="12"/>
      <c r="I7" s="12"/>
      <c r="J7" s="12"/>
      <c r="K7" s="12"/>
    </row>
    <row r="8" spans="1:11" ht="15.75" thickBot="1">
      <c r="A8" s="40" t="s">
        <v>0</v>
      </c>
      <c r="B8" s="40" t="s">
        <v>0</v>
      </c>
      <c r="C8" s="40" t="s">
        <v>0</v>
      </c>
      <c r="D8" s="33" t="s">
        <v>0</v>
      </c>
      <c r="E8" s="32" t="s">
        <v>77</v>
      </c>
      <c r="F8" s="33" t="s">
        <v>0</v>
      </c>
      <c r="G8" s="40"/>
      <c r="H8" s="40" t="s">
        <v>0</v>
      </c>
      <c r="I8" s="40" t="s">
        <v>0</v>
      </c>
      <c r="J8" s="12"/>
      <c r="K8" s="12"/>
    </row>
    <row r="9" spans="1:11">
      <c r="A9" s="40"/>
      <c r="B9" s="40"/>
      <c r="H9" s="40"/>
      <c r="I9" s="40"/>
      <c r="J9" s="12"/>
      <c r="K9" s="12"/>
    </row>
    <row r="10" spans="1:11">
      <c r="A10" s="40"/>
      <c r="B10" s="40"/>
      <c r="E10" s="13" t="s">
        <v>0</v>
      </c>
      <c r="H10" s="40"/>
      <c r="I10" s="40"/>
      <c r="J10" s="12"/>
      <c r="K10" s="12"/>
    </row>
    <row r="11" spans="1:11">
      <c r="A11" s="40"/>
      <c r="B11" s="40"/>
      <c r="E11">
        <f>28135+1400</f>
        <v>29535</v>
      </c>
      <c r="H11" s="40"/>
      <c r="I11" s="40"/>
      <c r="J11" s="12"/>
      <c r="K11" s="12"/>
    </row>
    <row r="12" spans="1:11" ht="15.75" thickBot="1">
      <c r="A12" s="33"/>
      <c r="B12" s="33"/>
      <c r="C12" s="162"/>
      <c r="D12" s="162"/>
      <c r="E12" s="162"/>
      <c r="F12" s="162"/>
      <c r="G12" s="162"/>
      <c r="H12" s="33"/>
      <c r="I12" s="33"/>
      <c r="J12" s="28"/>
      <c r="K12" s="12"/>
    </row>
    <row r="13" spans="1:11" ht="11.25" customHeight="1" thickBot="1">
      <c r="A13" s="33" t="s">
        <v>24</v>
      </c>
      <c r="B13" s="33" t="s">
        <v>92</v>
      </c>
      <c r="C13" s="33" t="s">
        <v>93</v>
      </c>
      <c r="D13" s="41" t="s">
        <v>94</v>
      </c>
      <c r="E13" s="33" t="s">
        <v>95</v>
      </c>
      <c r="F13" s="33" t="s">
        <v>96</v>
      </c>
      <c r="G13" s="33" t="s">
        <v>97</v>
      </c>
      <c r="H13" s="33" t="s">
        <v>98</v>
      </c>
      <c r="I13" s="33" t="s">
        <v>99</v>
      </c>
      <c r="J13" s="33" t="s">
        <v>100</v>
      </c>
      <c r="K13" s="12"/>
    </row>
    <row r="14" spans="1:11">
      <c r="A14" s="34" t="s">
        <v>0</v>
      </c>
      <c r="B14" s="34" t="s">
        <v>3</v>
      </c>
      <c r="C14" s="34" t="s">
        <v>87</v>
      </c>
      <c r="D14" s="34" t="s">
        <v>120</v>
      </c>
      <c r="E14" s="34" t="s">
        <v>121</v>
      </c>
      <c r="F14" s="34" t="s">
        <v>120</v>
      </c>
      <c r="G14" s="34" t="s">
        <v>121</v>
      </c>
      <c r="H14" s="34" t="s">
        <v>19</v>
      </c>
      <c r="I14" s="34" t="s">
        <v>122</v>
      </c>
      <c r="J14" s="34" t="s">
        <v>134</v>
      </c>
      <c r="K14" s="12"/>
    </row>
    <row r="15" spans="1:11" ht="15.75" thickBot="1">
      <c r="A15" s="36" t="s">
        <v>2</v>
      </c>
      <c r="B15" s="36" t="s">
        <v>4</v>
      </c>
      <c r="C15" s="36" t="s">
        <v>119</v>
      </c>
      <c r="D15" s="36" t="s">
        <v>86</v>
      </c>
      <c r="E15" s="36" t="s">
        <v>86</v>
      </c>
      <c r="F15" s="36" t="s">
        <v>87</v>
      </c>
      <c r="G15" s="36" t="s">
        <v>87</v>
      </c>
      <c r="H15" s="36" t="s">
        <v>120</v>
      </c>
      <c r="I15" s="36" t="s">
        <v>123</v>
      </c>
      <c r="J15" s="36" t="s">
        <v>133</v>
      </c>
      <c r="K15" s="12"/>
    </row>
    <row r="16" spans="1:11">
      <c r="A16" s="42" t="s">
        <v>7</v>
      </c>
      <c r="B16" s="42" t="s">
        <v>7</v>
      </c>
      <c r="C16" s="42" t="s">
        <v>136</v>
      </c>
      <c r="D16" s="42" t="s">
        <v>136</v>
      </c>
      <c r="E16" s="42" t="s">
        <v>136</v>
      </c>
      <c r="F16" s="42" t="s">
        <v>136</v>
      </c>
      <c r="G16" s="42" t="s">
        <v>136</v>
      </c>
      <c r="H16" s="42" t="s">
        <v>125</v>
      </c>
      <c r="I16" s="42" t="s">
        <v>124</v>
      </c>
      <c r="J16" s="42" t="s">
        <v>102</v>
      </c>
      <c r="K16" s="12"/>
    </row>
    <row r="17" spans="1:12">
      <c r="A17" s="34"/>
      <c r="B17" s="34"/>
      <c r="C17" s="34"/>
      <c r="D17" s="34"/>
      <c r="E17" s="34"/>
      <c r="F17" s="34"/>
      <c r="G17" s="34"/>
      <c r="H17" s="34"/>
      <c r="I17" s="34"/>
      <c r="J17" s="34"/>
      <c r="K17" s="12"/>
    </row>
    <row r="18" spans="1:12">
      <c r="A18" s="12"/>
      <c r="B18" s="12"/>
      <c r="C18" s="12"/>
      <c r="D18" s="12"/>
      <c r="E18" s="12"/>
      <c r="F18" s="12"/>
      <c r="G18" s="12"/>
      <c r="H18" s="12"/>
      <c r="I18" s="12"/>
      <c r="J18" s="12"/>
      <c r="K18" s="12"/>
    </row>
    <row r="19" spans="1:12" ht="15.75">
      <c r="A19" s="64" t="str">
        <f>+'S&amp;D'!A22</f>
        <v>DCP Midstream LP</v>
      </c>
      <c r="B19" s="93" t="str">
        <f>+'S&amp;D'!B22</f>
        <v>DCP</v>
      </c>
      <c r="C19" s="343">
        <v>278000000</v>
      </c>
      <c r="D19" s="326">
        <v>6093541047</v>
      </c>
      <c r="E19" s="145">
        <v>5433000000</v>
      </c>
      <c r="F19" s="145">
        <f>+'S&amp;D'!G41</f>
        <v>4761230201.066885</v>
      </c>
      <c r="G19" s="145">
        <f>+'S&amp;D'!J22</f>
        <v>4863000000</v>
      </c>
      <c r="H19" s="199">
        <f>(D19+F19)/2</f>
        <v>5427385624.0334425</v>
      </c>
      <c r="I19" s="67">
        <f>C19/H19</f>
        <v>5.1221715068294732E-2</v>
      </c>
      <c r="J19" s="45">
        <f>F19/G19</f>
        <v>0.97907263028313485</v>
      </c>
      <c r="K19" s="12"/>
    </row>
    <row r="20" spans="1:12" ht="15.75">
      <c r="A20" s="64" t="str">
        <f>+'S&amp;D'!A23</f>
        <v>Energy Transfer LP</v>
      </c>
      <c r="B20" s="93" t="str">
        <f>+'S&amp;D'!B23</f>
        <v>ET</v>
      </c>
      <c r="C20" s="343">
        <v>2306000000</v>
      </c>
      <c r="D20" s="326">
        <v>54972212072</v>
      </c>
      <c r="E20" s="145">
        <v>49702000000</v>
      </c>
      <c r="F20" s="145">
        <f>+'S&amp;D'!G42</f>
        <v>45421882304.185661</v>
      </c>
      <c r="G20" s="145">
        <f>+'S&amp;D'!J23</f>
        <v>48262000000</v>
      </c>
      <c r="H20" s="199">
        <f t="shared" ref="H20:H24" si="0">(D20+F20)/2</f>
        <v>50197047188.092834</v>
      </c>
      <c r="I20" s="67">
        <f t="shared" ref="I20:I24" si="1">C20/H20</f>
        <v>4.5938957153380186E-2</v>
      </c>
      <c r="J20" s="45">
        <f t="shared" ref="J20:J24" si="2">F20/G20</f>
        <v>0.9411520928305015</v>
      </c>
      <c r="K20" s="12"/>
    </row>
    <row r="21" spans="1:12" ht="15.75">
      <c r="A21" s="64" t="str">
        <f>+'S&amp;D'!A24</f>
        <v>Enterprise Products Partnership LP</v>
      </c>
      <c r="B21" s="93" t="str">
        <f>+'S&amp;D'!B24</f>
        <v>EPD</v>
      </c>
      <c r="C21" s="343">
        <v>1244000000</v>
      </c>
      <c r="D21" s="326">
        <f>+E21*(33.48/29.58)</f>
        <v>33752774847.870186</v>
      </c>
      <c r="E21" s="145">
        <v>29821000000</v>
      </c>
      <c r="F21" s="145">
        <f>+'S&amp;D'!G43</f>
        <v>25138080000</v>
      </c>
      <c r="G21" s="145">
        <f>+'S&amp;D'!J24</f>
        <v>28566000000</v>
      </c>
      <c r="H21" s="199">
        <f t="shared" si="0"/>
        <v>29445427423.935093</v>
      </c>
      <c r="I21" s="67">
        <f t="shared" si="1"/>
        <v>4.2247646199518187E-2</v>
      </c>
      <c r="J21" s="45">
        <f t="shared" si="2"/>
        <v>0.88</v>
      </c>
      <c r="K21" s="12"/>
      <c r="L21" t="s">
        <v>0</v>
      </c>
    </row>
    <row r="22" spans="1:12" ht="15.75">
      <c r="A22" s="64" t="str">
        <f>+'S&amp;D'!A25</f>
        <v>Hess Midstream LP</v>
      </c>
      <c r="B22" s="93" t="str">
        <f>+'S&amp;D'!B25</f>
        <v>HESM</v>
      </c>
      <c r="C22" s="343">
        <v>149300000</v>
      </c>
      <c r="D22" s="326">
        <f>+E22*(2648.5/2563.5)</f>
        <v>2648500000</v>
      </c>
      <c r="E22" s="145">
        <f>2543500000+20000000</f>
        <v>2563500000</v>
      </c>
      <c r="F22" s="145">
        <f>+'S&amp;D'!G44</f>
        <v>2720700000</v>
      </c>
      <c r="G22" s="145">
        <f>+'S&amp;D'!J25</f>
        <v>2885600000</v>
      </c>
      <c r="H22" s="199">
        <f t="shared" si="0"/>
        <v>2684600000</v>
      </c>
      <c r="I22" s="67">
        <f t="shared" si="1"/>
        <v>5.5613499217760563E-2</v>
      </c>
      <c r="J22" s="45">
        <f t="shared" si="2"/>
        <v>0.94285417244247294</v>
      </c>
      <c r="K22" s="12"/>
    </row>
    <row r="23" spans="1:12" ht="15.75">
      <c r="A23" s="64" t="str">
        <f>+'S&amp;D'!A26</f>
        <v>Holly Energy Partners LP</v>
      </c>
      <c r="B23" s="93" t="str">
        <f>+'S&amp;D'!B26</f>
        <v>HEP</v>
      </c>
      <c r="C23" s="343">
        <v>82560000</v>
      </c>
      <c r="D23" s="326">
        <v>1359155779</v>
      </c>
      <c r="E23" s="145">
        <f>1333049000+3786000+64649000</f>
        <v>1401484000</v>
      </c>
      <c r="F23" s="145">
        <f>+'S&amp;D'!G45</f>
        <v>1558045916.6124454</v>
      </c>
      <c r="G23" s="145">
        <f>+'S&amp;D'!J26</f>
        <v>1623236000</v>
      </c>
      <c r="H23" s="199">
        <f t="shared" si="0"/>
        <v>1458600847.8062227</v>
      </c>
      <c r="I23" s="67">
        <f t="shared" si="1"/>
        <v>5.6602188408276737E-2</v>
      </c>
      <c r="J23" s="45">
        <f t="shared" si="2"/>
        <v>0.95983942976403025</v>
      </c>
      <c r="K23" s="12"/>
    </row>
    <row r="24" spans="1:12" ht="15.75">
      <c r="A24" s="64" t="str">
        <f>+'S&amp;D'!A27</f>
        <v>Magellan Midstream Partners LP</v>
      </c>
      <c r="B24" s="93" t="str">
        <f>+'S&amp;D'!B27</f>
        <v>MMP</v>
      </c>
      <c r="C24" s="343">
        <v>234100000</v>
      </c>
      <c r="D24" s="326">
        <v>5711500000</v>
      </c>
      <c r="E24" s="145">
        <v>5088800000</v>
      </c>
      <c r="F24" s="145">
        <f>+'S&amp;D'!G46</f>
        <v>4232500000.0000005</v>
      </c>
      <c r="G24" s="145">
        <f>+'S&amp;D'!J27</f>
        <v>5015000000</v>
      </c>
      <c r="H24" s="199">
        <f t="shared" si="0"/>
        <v>4972000000</v>
      </c>
      <c r="I24" s="67">
        <f t="shared" si="1"/>
        <v>4.7083668543845533E-2</v>
      </c>
      <c r="J24" s="45">
        <f t="shared" si="2"/>
        <v>0.84396809571286147</v>
      </c>
      <c r="K24" s="12"/>
    </row>
    <row r="25" spans="1:12" ht="15.75">
      <c r="A25" s="64" t="str">
        <f>+'S&amp;D'!A28</f>
        <v>MPLX, LP</v>
      </c>
      <c r="B25" s="93" t="str">
        <f>+'S&amp;D'!B28</f>
        <v>MPLX</v>
      </c>
      <c r="C25" s="343">
        <v>848000000</v>
      </c>
      <c r="D25" s="326">
        <v>20119914702</v>
      </c>
      <c r="E25" s="145">
        <v>18571000000</v>
      </c>
      <c r="F25" s="145">
        <f>+'S&amp;D'!G47</f>
        <v>17995911580.005024</v>
      </c>
      <c r="G25" s="145">
        <f>+'S&amp;D'!J28</f>
        <v>19796000000</v>
      </c>
      <c r="H25" s="199">
        <f t="shared" ref="H25:H28" si="3">(D25+F25)/2</f>
        <v>19057913141.00251</v>
      </c>
      <c r="I25" s="67">
        <f t="shared" ref="I25:I28" si="4">C25/H25</f>
        <v>4.449595261170302E-2</v>
      </c>
      <c r="J25" s="45">
        <f t="shared" ref="J25:J28" si="5">F25/G25</f>
        <v>0.90906807334840489</v>
      </c>
      <c r="K25" s="12"/>
    </row>
    <row r="26" spans="1:12" ht="15.75">
      <c r="A26" s="64" t="str">
        <f>+'S&amp;D'!A29</f>
        <v>NuStar Energy LP</v>
      </c>
      <c r="B26" s="93" t="str">
        <f>+'S&amp;D'!B29</f>
        <v>NS</v>
      </c>
      <c r="C26" s="343">
        <v>209009000</v>
      </c>
      <c r="D26" s="326">
        <v>3521889287</v>
      </c>
      <c r="E26" s="145">
        <f>3183555000+3848000</f>
        <v>3187403000</v>
      </c>
      <c r="F26" s="145">
        <f>+'S&amp;D'!G48</f>
        <v>3223961898.1478825</v>
      </c>
      <c r="G26" s="145">
        <f>+'S&amp;D'!J29</f>
        <v>3297831000</v>
      </c>
      <c r="H26" s="199">
        <f t="shared" si="3"/>
        <v>3372925592.5739412</v>
      </c>
      <c r="I26" s="67">
        <f t="shared" si="4"/>
        <v>6.1966679745372448E-2</v>
      </c>
      <c r="J26" s="45">
        <f t="shared" si="5"/>
        <v>0.97760070123298692</v>
      </c>
      <c r="K26" s="12"/>
    </row>
    <row r="27" spans="1:12" ht="15.75">
      <c r="A27" s="64" t="str">
        <f>+'S&amp;D'!A30</f>
        <v>Plains All American Pipeline LP</v>
      </c>
      <c r="B27" s="93" t="str">
        <f>+'S&amp;D'!B30</f>
        <v>PAA</v>
      </c>
      <c r="C27" s="343">
        <v>405000000</v>
      </c>
      <c r="D27" s="326">
        <f>+E27*(9.9/9.1)</f>
        <v>10933516483.516485</v>
      </c>
      <c r="E27" s="145">
        <v>10050000000</v>
      </c>
      <c r="F27" s="145">
        <f>+'S&amp;D'!G49</f>
        <v>8619666666.666666</v>
      </c>
      <c r="G27" s="145">
        <f>+'S&amp;D'!J30</f>
        <v>9527000000</v>
      </c>
      <c r="H27" s="199">
        <f t="shared" si="3"/>
        <v>9776591575.0915756</v>
      </c>
      <c r="I27" s="67">
        <f t="shared" si="4"/>
        <v>4.142548012661626E-2</v>
      </c>
      <c r="J27" s="45">
        <f t="shared" si="5"/>
        <v>0.90476190476190466</v>
      </c>
      <c r="K27" s="12"/>
      <c r="L27" t="s">
        <v>0</v>
      </c>
    </row>
    <row r="28" spans="1:12" ht="15.75">
      <c r="A28" s="64" t="str">
        <f>+'S&amp;D'!A31</f>
        <v>Western Midstream Partners LP</v>
      </c>
      <c r="B28" s="93" t="str">
        <f>+'S&amp;D'!B31</f>
        <v>WES</v>
      </c>
      <c r="C28" s="343">
        <v>333939000</v>
      </c>
      <c r="D28" s="326">
        <v>7793612000</v>
      </c>
      <c r="E28" s="145">
        <f>6400616000+505932000</f>
        <v>6906548000</v>
      </c>
      <c r="F28" s="145">
        <f>+'S&amp;D'!G50</f>
        <v>5897794000</v>
      </c>
      <c r="G28" s="145">
        <f>+'S&amp;D'!J31</f>
        <v>6569582000</v>
      </c>
      <c r="H28" s="199">
        <f t="shared" si="3"/>
        <v>6845703000</v>
      </c>
      <c r="I28" s="67">
        <f t="shared" si="4"/>
        <v>4.8780819150348764E-2</v>
      </c>
      <c r="J28" s="45">
        <f t="shared" si="5"/>
        <v>0.89774265699096234</v>
      </c>
      <c r="K28" s="12"/>
    </row>
    <row r="29" spans="1:12" ht="15.75" thickBot="1">
      <c r="A29" s="12"/>
      <c r="B29" s="12"/>
      <c r="C29" s="46"/>
      <c r="D29" s="46"/>
      <c r="E29" s="46"/>
      <c r="F29" s="46"/>
      <c r="G29" s="46" t="s">
        <v>45</v>
      </c>
      <c r="H29" s="46"/>
      <c r="I29" s="46" t="s">
        <v>45</v>
      </c>
      <c r="J29" s="46"/>
      <c r="K29" s="12"/>
    </row>
    <row r="30" spans="1:12" ht="15.75" thickTop="1">
      <c r="A30" s="12"/>
      <c r="B30" s="12"/>
      <c r="C30" s="47" t="s">
        <v>0</v>
      </c>
      <c r="D30" s="47" t="s">
        <v>0</v>
      </c>
      <c r="E30" s="34" t="s">
        <v>0</v>
      </c>
      <c r="F30" s="34"/>
      <c r="G30" s="47" t="s">
        <v>0</v>
      </c>
      <c r="H30" s="14" t="s">
        <v>46</v>
      </c>
      <c r="I30" s="340">
        <v>6.2E-2</v>
      </c>
      <c r="J30" s="342">
        <v>0.97909999999999997</v>
      </c>
      <c r="K30" s="12"/>
    </row>
    <row r="31" spans="1:12">
      <c r="A31" s="200" t="s">
        <v>73</v>
      </c>
      <c r="B31" s="12"/>
      <c r="C31" s="47"/>
      <c r="D31" s="47" t="s">
        <v>0</v>
      </c>
      <c r="F31" s="34"/>
      <c r="G31" s="34" t="s">
        <v>0</v>
      </c>
      <c r="H31" s="383" t="s">
        <v>47</v>
      </c>
      <c r="I31" s="341">
        <v>4.1399999999999999E-2</v>
      </c>
      <c r="J31" s="387">
        <v>0.84399999999999997</v>
      </c>
      <c r="K31" s="12"/>
    </row>
    <row r="32" spans="1:12">
      <c r="A32" s="201" t="s">
        <v>276</v>
      </c>
      <c r="B32" s="12"/>
      <c r="C32" s="12"/>
      <c r="D32" s="12"/>
      <c r="E32" s="12"/>
      <c r="F32" s="12"/>
      <c r="G32" s="12"/>
      <c r="H32" s="14" t="s">
        <v>18</v>
      </c>
      <c r="I32" s="55">
        <f>MEDIAN(I19:I28)</f>
        <v>4.7932243847097149E-2</v>
      </c>
      <c r="J32" s="48">
        <f>MEDIAN(J19:J28)</f>
        <v>0.92511008308945319</v>
      </c>
      <c r="K32" s="12"/>
    </row>
    <row r="33" spans="1:11">
      <c r="A33" s="201" t="s">
        <v>240</v>
      </c>
      <c r="B33" s="12"/>
      <c r="C33" s="12"/>
      <c r="D33" s="12"/>
      <c r="E33" s="12"/>
      <c r="F33" s="12"/>
      <c r="G33" s="12"/>
      <c r="H33" s="14" t="s">
        <v>473</v>
      </c>
      <c r="I33" s="55">
        <f>AVERAGE(I19:I28)</f>
        <v>4.9537660622511644E-2</v>
      </c>
      <c r="J33" s="48">
        <f>AVERAGE(J19:J28)</f>
        <v>0.92360597573672598</v>
      </c>
      <c r="K33" s="12"/>
    </row>
    <row r="34" spans="1:11" ht="15.75" thickBot="1">
      <c r="A34" s="12"/>
      <c r="B34" s="12"/>
      <c r="C34" s="12"/>
      <c r="D34" s="12"/>
      <c r="E34" s="12"/>
      <c r="F34" s="12"/>
      <c r="G34" s="12"/>
      <c r="H34" s="12"/>
      <c r="I34" s="12"/>
      <c r="J34" s="13"/>
      <c r="K34" s="12"/>
    </row>
    <row r="35" spans="1:11" ht="21" thickBot="1">
      <c r="A35" s="12"/>
      <c r="B35" s="12"/>
      <c r="C35" s="12"/>
      <c r="D35" s="12"/>
      <c r="E35" s="12"/>
      <c r="F35" s="12"/>
      <c r="G35" s="204"/>
      <c r="H35" s="205" t="s">
        <v>247</v>
      </c>
      <c r="I35" s="206">
        <v>4.9500000000000002E-2</v>
      </c>
      <c r="J35" s="471">
        <v>9.2359999999999994E-3</v>
      </c>
      <c r="K35" s="12"/>
    </row>
    <row r="36" spans="1:11">
      <c r="A36" s="12"/>
      <c r="B36" s="12"/>
      <c r="C36" s="12"/>
      <c r="D36" s="12"/>
      <c r="E36" s="12"/>
      <c r="F36" s="12"/>
      <c r="G36" s="12"/>
      <c r="H36" s="12"/>
      <c r="I36" s="12"/>
      <c r="J36" s="12"/>
      <c r="K36" s="12"/>
    </row>
    <row r="37" spans="1:11">
      <c r="A37" s="12"/>
      <c r="B37" s="12"/>
      <c r="C37" s="12"/>
      <c r="D37" s="12"/>
      <c r="E37" s="12"/>
      <c r="F37" s="12"/>
      <c r="G37" s="12"/>
      <c r="H37" s="12"/>
      <c r="I37" s="12"/>
      <c r="J37" s="12"/>
      <c r="K37" s="12"/>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61"/>
  <sheetViews>
    <sheetView view="pageBreakPreview" zoomScale="60" zoomScaleNormal="80" workbookViewId="0">
      <selection activeCell="I5" sqref="I5"/>
    </sheetView>
  </sheetViews>
  <sheetFormatPr defaultRowHeight="15"/>
  <cols>
    <col min="1" max="1" width="42.85546875" customWidth="1"/>
    <col min="2" max="2" width="13.42578125" customWidth="1"/>
    <col min="3" max="3" width="19.140625" bestFit="1" customWidth="1"/>
    <col min="4" max="4" width="21.140625"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13.7109375" customWidth="1"/>
  </cols>
  <sheetData>
    <row r="1" spans="1:13" ht="20.25">
      <c r="A1" s="23" t="s">
        <v>1</v>
      </c>
      <c r="B1" s="12"/>
      <c r="C1" s="12"/>
      <c r="D1" s="12"/>
      <c r="E1" s="12"/>
      <c r="F1" s="12"/>
      <c r="G1" s="12"/>
      <c r="H1" s="12"/>
      <c r="I1" s="12"/>
      <c r="J1" s="12"/>
      <c r="K1" s="12"/>
      <c r="L1" s="12"/>
      <c r="M1" s="12"/>
    </row>
    <row r="2" spans="1:13" ht="15.75">
      <c r="A2" s="24" t="s">
        <v>9</v>
      </c>
      <c r="B2" s="12"/>
      <c r="C2" s="12"/>
      <c r="D2" s="12"/>
      <c r="E2" s="12"/>
      <c r="F2" s="12"/>
      <c r="G2" s="12"/>
      <c r="H2" s="12"/>
      <c r="I2" s="12"/>
      <c r="J2" s="12"/>
      <c r="K2" s="12"/>
      <c r="L2" s="12"/>
      <c r="M2" s="12"/>
    </row>
    <row r="3" spans="1:13">
      <c r="A3" s="25" t="s">
        <v>63</v>
      </c>
      <c r="B3" s="12"/>
      <c r="C3" s="12"/>
      <c r="D3" s="12"/>
      <c r="E3" s="12"/>
      <c r="F3" s="12"/>
      <c r="G3" s="12"/>
      <c r="H3" s="12"/>
      <c r="I3" s="12"/>
      <c r="J3" s="12"/>
      <c r="K3" s="12"/>
      <c r="L3" s="12"/>
      <c r="M3" s="12"/>
    </row>
    <row r="4" spans="1:13">
      <c r="A4" s="25"/>
      <c r="B4" s="12"/>
      <c r="C4" s="12"/>
      <c r="D4" s="12"/>
      <c r="E4" s="12"/>
      <c r="F4" s="12"/>
      <c r="G4" s="12"/>
      <c r="H4" s="12"/>
      <c r="I4" s="12"/>
      <c r="J4" s="12"/>
      <c r="K4" s="12"/>
      <c r="L4" s="12"/>
      <c r="M4" s="12"/>
    </row>
    <row r="5" spans="1:13" ht="15.75" thickBot="1">
      <c r="A5" s="12"/>
      <c r="B5" s="12"/>
      <c r="C5" s="12"/>
      <c r="D5" s="12"/>
      <c r="E5" s="12"/>
      <c r="F5" s="12"/>
      <c r="G5" s="26"/>
      <c r="H5" s="26"/>
      <c r="I5" s="12"/>
      <c r="J5" s="12"/>
      <c r="K5" s="12"/>
      <c r="L5" s="12"/>
      <c r="M5" s="12"/>
    </row>
    <row r="6" spans="1:13" ht="18.75" thickBot="1">
      <c r="A6" s="285" t="str">
        <f>+'S&amp;D'!A12</f>
        <v>Liquid Transportation Pipeline Carriers</v>
      </c>
      <c r="B6" s="211"/>
      <c r="C6" s="12"/>
      <c r="D6" s="28"/>
      <c r="E6" s="28"/>
      <c r="F6" s="29" t="s">
        <v>0</v>
      </c>
      <c r="G6" s="12"/>
      <c r="H6" s="12"/>
      <c r="I6" s="12"/>
      <c r="J6" s="12"/>
      <c r="K6" s="12"/>
      <c r="L6" s="12"/>
      <c r="M6" s="12"/>
    </row>
    <row r="7" spans="1:13" ht="20.25">
      <c r="A7" s="30"/>
      <c r="B7" s="12"/>
      <c r="C7" s="12"/>
      <c r="D7" s="12"/>
      <c r="E7" s="31" t="s">
        <v>132</v>
      </c>
      <c r="F7" s="12"/>
      <c r="G7" s="12"/>
      <c r="H7" s="12"/>
      <c r="I7" s="12"/>
      <c r="J7" s="12"/>
      <c r="K7" s="12"/>
      <c r="L7" s="12"/>
      <c r="M7" s="12"/>
    </row>
    <row r="8" spans="1:13" ht="18.75" thickBot="1">
      <c r="A8" s="30"/>
      <c r="B8" s="12"/>
      <c r="C8" s="12"/>
      <c r="D8" s="28"/>
      <c r="E8" s="32" t="s">
        <v>77</v>
      </c>
      <c r="F8" s="28"/>
      <c r="G8" s="12"/>
      <c r="H8" s="12"/>
      <c r="I8" s="12"/>
      <c r="J8" s="12"/>
      <c r="K8" s="12"/>
      <c r="L8" s="12"/>
      <c r="M8" s="12"/>
    </row>
    <row r="9" spans="1:13" ht="15.75" thickBot="1">
      <c r="A9" s="33" t="s">
        <v>0</v>
      </c>
      <c r="B9" s="33" t="s">
        <v>0</v>
      </c>
      <c r="C9" s="33" t="s">
        <v>0</v>
      </c>
      <c r="D9" s="33" t="s">
        <v>0</v>
      </c>
      <c r="E9" s="33" t="s">
        <v>0</v>
      </c>
      <c r="F9" s="33" t="s">
        <v>0</v>
      </c>
      <c r="G9" s="33"/>
      <c r="H9" s="33"/>
      <c r="I9" s="33" t="s">
        <v>0</v>
      </c>
      <c r="J9" s="28"/>
      <c r="L9" s="12"/>
      <c r="M9" s="12"/>
    </row>
    <row r="10" spans="1:13">
      <c r="A10" s="34" t="s">
        <v>0</v>
      </c>
      <c r="B10" s="34" t="s">
        <v>3</v>
      </c>
      <c r="C10" s="34" t="s">
        <v>5</v>
      </c>
      <c r="D10" s="34" t="s">
        <v>21</v>
      </c>
      <c r="E10" s="34" t="s">
        <v>20</v>
      </c>
      <c r="F10" s="34" t="s">
        <v>51</v>
      </c>
      <c r="G10" s="34" t="s">
        <v>135</v>
      </c>
      <c r="H10" s="34" t="s">
        <v>48</v>
      </c>
      <c r="I10" s="34" t="s">
        <v>135</v>
      </c>
      <c r="J10" s="34" t="s">
        <v>48</v>
      </c>
      <c r="L10" s="12"/>
      <c r="M10" s="12"/>
    </row>
    <row r="11" spans="1:13" ht="15.75" thickBot="1">
      <c r="A11" s="36" t="s">
        <v>2</v>
      </c>
      <c r="B11" s="36" t="s">
        <v>4</v>
      </c>
      <c r="C11" s="36" t="s">
        <v>6</v>
      </c>
      <c r="D11" s="36" t="s">
        <v>23</v>
      </c>
      <c r="E11" s="36" t="s">
        <v>22</v>
      </c>
      <c r="F11" s="36" t="s">
        <v>49</v>
      </c>
      <c r="G11" s="36" t="s">
        <v>49</v>
      </c>
      <c r="H11" s="36" t="s">
        <v>49</v>
      </c>
      <c r="I11" s="36" t="s">
        <v>49</v>
      </c>
      <c r="J11" s="36" t="s">
        <v>50</v>
      </c>
      <c r="L11" s="12"/>
      <c r="M11" s="12"/>
    </row>
    <row r="12" spans="1:13">
      <c r="A12" s="38" t="s">
        <v>7</v>
      </c>
      <c r="B12" s="38" t="s">
        <v>7</v>
      </c>
      <c r="C12" s="38" t="s">
        <v>7</v>
      </c>
      <c r="D12" s="38" t="s">
        <v>7</v>
      </c>
      <c r="E12" s="38" t="s">
        <v>7</v>
      </c>
      <c r="F12" s="38" t="s">
        <v>0</v>
      </c>
      <c r="G12" s="38" t="s">
        <v>0</v>
      </c>
      <c r="H12" s="38" t="s">
        <v>0</v>
      </c>
      <c r="I12" s="38" t="s">
        <v>0</v>
      </c>
      <c r="J12" s="38" t="s">
        <v>0</v>
      </c>
      <c r="L12" s="12"/>
      <c r="M12" s="12"/>
    </row>
    <row r="13" spans="1:13">
      <c r="A13" s="34"/>
      <c r="B13" s="34"/>
      <c r="C13" s="34"/>
      <c r="D13" s="34"/>
      <c r="E13" s="34"/>
      <c r="F13" s="34"/>
      <c r="G13" s="34"/>
      <c r="H13" s="34"/>
      <c r="I13" s="34"/>
      <c r="J13" s="34"/>
      <c r="L13" s="12"/>
      <c r="M13" s="12"/>
    </row>
    <row r="14" spans="1:13">
      <c r="A14" s="12"/>
      <c r="B14" s="12"/>
      <c r="C14" s="12"/>
      <c r="D14" s="12"/>
      <c r="E14" s="12"/>
      <c r="F14" s="12"/>
      <c r="G14" s="12"/>
      <c r="H14" s="12"/>
      <c r="I14" s="12"/>
      <c r="J14" s="12"/>
      <c r="L14" s="12"/>
      <c r="M14" s="12"/>
    </row>
    <row r="15" spans="1:13" ht="15.75">
      <c r="A15" s="64" t="str">
        <f>+'S&amp;D'!A22</f>
        <v>DCP Midstream LP</v>
      </c>
      <c r="B15" s="93" t="str">
        <f>+'S&amp;D'!B22</f>
        <v>DCP</v>
      </c>
      <c r="C15" s="34" t="str">
        <f>+'S&amp;D'!C22</f>
        <v>Pipeline MLPs</v>
      </c>
      <c r="D15" s="53">
        <f>+'Beta for CAPM'!D18</f>
        <v>0.02</v>
      </c>
      <c r="E15" s="34" t="str">
        <f>+'Beta for CAPM'!G18</f>
        <v>B+</v>
      </c>
      <c r="F15" s="34" t="s">
        <v>337</v>
      </c>
      <c r="G15" s="314">
        <v>10</v>
      </c>
      <c r="H15" s="63" t="s">
        <v>57</v>
      </c>
      <c r="I15" s="314">
        <v>13</v>
      </c>
      <c r="J15" s="67">
        <v>7.4399999999999994E-2</v>
      </c>
      <c r="L15" s="12"/>
      <c r="M15" s="12"/>
    </row>
    <row r="16" spans="1:13" ht="15.75">
      <c r="A16" s="64" t="str">
        <f>+'S&amp;D'!A23</f>
        <v>Energy Transfer LP</v>
      </c>
      <c r="B16" s="93" t="str">
        <f>+'S&amp;D'!B23</f>
        <v>ET</v>
      </c>
      <c r="C16" s="34" t="str">
        <f>+'S&amp;D'!C23</f>
        <v>Pipeline MLPs</v>
      </c>
      <c r="D16" s="53" t="str">
        <f>+'Beta for CAPM'!D19</f>
        <v>nmf</v>
      </c>
      <c r="E16" s="34" t="str">
        <f>+'Beta for CAPM'!G19</f>
        <v>B+</v>
      </c>
      <c r="F16" s="34" t="s">
        <v>339</v>
      </c>
      <c r="G16" s="314">
        <v>12</v>
      </c>
      <c r="H16" s="63" t="s">
        <v>54</v>
      </c>
      <c r="I16" s="314">
        <v>11</v>
      </c>
      <c r="J16" s="67">
        <v>5.9700000000000003E-2</v>
      </c>
      <c r="L16" s="12"/>
      <c r="M16" s="12"/>
    </row>
    <row r="17" spans="1:13" ht="15.75">
      <c r="A17" s="64" t="str">
        <f>+'S&amp;D'!A24</f>
        <v>Enterprise Products Partnership LP</v>
      </c>
      <c r="B17" s="93" t="str">
        <f>+'S&amp;D'!B24</f>
        <v>EPD</v>
      </c>
      <c r="C17" s="34" t="str">
        <f>+'S&amp;D'!C24</f>
        <v>Pipeline MLPs</v>
      </c>
      <c r="D17" s="53">
        <f>+'Beta for CAPM'!D20</f>
        <v>1.4999999999999999E-2</v>
      </c>
      <c r="E17" s="34" t="str">
        <f>+'Beta for CAPM'!G20</f>
        <v>B++</v>
      </c>
      <c r="F17" s="34" t="s">
        <v>337</v>
      </c>
      <c r="G17" s="314">
        <v>10</v>
      </c>
      <c r="H17" s="63" t="s">
        <v>57</v>
      </c>
      <c r="I17" s="314">
        <v>13</v>
      </c>
      <c r="J17" s="67">
        <v>7.4399999999999994E-2</v>
      </c>
      <c r="L17" s="12"/>
      <c r="M17" s="12"/>
    </row>
    <row r="18" spans="1:13" ht="15.75">
      <c r="A18" s="64" t="str">
        <f>+'S&amp;D'!A25</f>
        <v>Hess Midstream LP</v>
      </c>
      <c r="B18" s="93" t="str">
        <f>+'S&amp;D'!B25</f>
        <v>HESM</v>
      </c>
      <c r="C18" s="34" t="str">
        <f>+'S&amp;D'!C25</f>
        <v>Pipeline MLPs</v>
      </c>
      <c r="D18" s="53">
        <f>+'Beta for CAPM'!D21</f>
        <v>0.04</v>
      </c>
      <c r="E18" s="34" t="str">
        <f>+'Beta for CAPM'!G21</f>
        <v>C++</v>
      </c>
      <c r="F18" s="280" t="s">
        <v>340</v>
      </c>
      <c r="G18" s="314">
        <v>13</v>
      </c>
      <c r="H18" s="63" t="s">
        <v>57</v>
      </c>
      <c r="I18" s="314">
        <v>14</v>
      </c>
      <c r="J18" s="67">
        <v>7.4399999999999994E-2</v>
      </c>
      <c r="L18" s="12"/>
      <c r="M18" s="12"/>
    </row>
    <row r="19" spans="1:13" ht="15.75">
      <c r="A19" s="64" t="str">
        <f>+'S&amp;D'!A26</f>
        <v>Holly Energy Partners LP</v>
      </c>
      <c r="B19" s="93" t="str">
        <f>+'S&amp;D'!B26</f>
        <v>HEP</v>
      </c>
      <c r="C19" s="34" t="str">
        <f>+'S&amp;D'!C26</f>
        <v>Pipeline MLPs</v>
      </c>
      <c r="D19" s="53">
        <f>+'Beta for CAPM'!D22</f>
        <v>1E-3</v>
      </c>
      <c r="E19" s="34" t="str">
        <f>+'Beta for CAPM'!G22</f>
        <v>C+</v>
      </c>
      <c r="F19" s="34" t="s">
        <v>340</v>
      </c>
      <c r="G19" s="314">
        <v>13</v>
      </c>
      <c r="H19" s="63" t="s">
        <v>429</v>
      </c>
      <c r="I19" s="314">
        <v>14</v>
      </c>
      <c r="J19" s="67">
        <v>7.4399999999999994E-2</v>
      </c>
      <c r="L19" s="12"/>
      <c r="M19" s="12"/>
    </row>
    <row r="20" spans="1:13" ht="15.75">
      <c r="A20" s="64" t="str">
        <f>+'S&amp;D'!A27</f>
        <v>Magellan Midstream Partners LP</v>
      </c>
      <c r="B20" s="93" t="str">
        <f>+'S&amp;D'!B27</f>
        <v>MMP</v>
      </c>
      <c r="C20" s="34" t="str">
        <f>+'S&amp;D'!C27</f>
        <v>Pipeline MLPs</v>
      </c>
      <c r="D20" s="53">
        <f>+'Beta for CAPM'!D23</f>
        <v>5.0000000000000001E-3</v>
      </c>
      <c r="E20" s="34" t="str">
        <f>+'Beta for CAPM'!G23</f>
        <v>B+</v>
      </c>
      <c r="F20" s="34" t="s">
        <v>337</v>
      </c>
      <c r="G20" s="314">
        <v>10</v>
      </c>
      <c r="H20" s="63" t="s">
        <v>53</v>
      </c>
      <c r="I20" s="314">
        <v>10</v>
      </c>
      <c r="J20" s="67">
        <v>5.9700000000000003E-2</v>
      </c>
      <c r="L20" s="12"/>
      <c r="M20" s="12"/>
    </row>
    <row r="21" spans="1:13" ht="15.75">
      <c r="A21" s="64" t="str">
        <f>+'S&amp;D'!A28</f>
        <v>MPLX, LP</v>
      </c>
      <c r="B21" s="93" t="str">
        <f>+'S&amp;D'!B28</f>
        <v>MPLX</v>
      </c>
      <c r="C21" s="34" t="str">
        <f>+'S&amp;D'!C28</f>
        <v>Pipeline MLPs</v>
      </c>
      <c r="D21" s="53">
        <f>+'Beta for CAPM'!D24</f>
        <v>0.03</v>
      </c>
      <c r="E21" s="34" t="str">
        <f>+'Beta for CAPM'!G24</f>
        <v>B+</v>
      </c>
      <c r="F21" s="34" t="s">
        <v>338</v>
      </c>
      <c r="G21" s="314">
        <v>11</v>
      </c>
      <c r="H21" s="63" t="s">
        <v>54</v>
      </c>
      <c r="I21" s="314">
        <v>11</v>
      </c>
      <c r="J21" s="67">
        <v>5.9700000000000003E-2</v>
      </c>
      <c r="L21" s="12"/>
      <c r="M21" s="12"/>
    </row>
    <row r="22" spans="1:13" ht="15.75">
      <c r="A22" s="64" t="str">
        <f>+'S&amp;D'!A29</f>
        <v>NuStar Energy LP</v>
      </c>
      <c r="B22" s="93" t="str">
        <f>+'S&amp;D'!B29</f>
        <v>NS</v>
      </c>
      <c r="C22" s="34" t="str">
        <f>+'S&amp;D'!C29</f>
        <v>Pipeline MLPs</v>
      </c>
      <c r="D22" s="53">
        <f>+'Beta for CAPM'!D25</f>
        <v>1.4E-2</v>
      </c>
      <c r="E22" s="34" t="str">
        <f>+'Beta for CAPM'!G25</f>
        <v>B</v>
      </c>
      <c r="F22" s="34" t="s">
        <v>342</v>
      </c>
      <c r="G22" s="314">
        <v>15</v>
      </c>
      <c r="H22" s="63" t="s">
        <v>143</v>
      </c>
      <c r="I22" s="314">
        <v>15</v>
      </c>
      <c r="J22" s="67">
        <v>8.2299999999999998E-2</v>
      </c>
      <c r="L22" s="12"/>
      <c r="M22" s="12"/>
    </row>
    <row r="23" spans="1:13" ht="15.75">
      <c r="A23" s="64" t="str">
        <f>+'S&amp;D'!A30</f>
        <v>Plains All American Pipeline LP</v>
      </c>
      <c r="B23" s="93" t="str">
        <f>+'S&amp;D'!B30</f>
        <v>PAA</v>
      </c>
      <c r="C23" s="34" t="str">
        <f>+'S&amp;D'!C30</f>
        <v>Pipeline MLPs</v>
      </c>
      <c r="D23" s="53">
        <f>+'Beta for CAPM'!D26</f>
        <v>0.15</v>
      </c>
      <c r="E23" s="34" t="str">
        <f>+'Beta for CAPM'!G26</f>
        <v>B</v>
      </c>
      <c r="F23" s="34" t="s">
        <v>339</v>
      </c>
      <c r="G23" s="314">
        <v>12</v>
      </c>
      <c r="H23" s="63" t="s">
        <v>59</v>
      </c>
      <c r="I23" s="314">
        <v>12</v>
      </c>
      <c r="J23" s="67">
        <v>5.9700000000000003E-2</v>
      </c>
      <c r="L23" s="12"/>
      <c r="M23" s="12"/>
    </row>
    <row r="24" spans="1:13" ht="15.75">
      <c r="A24" s="64" t="str">
        <f>+'S&amp;D'!A31</f>
        <v>Western Midstream Partners LP</v>
      </c>
      <c r="B24" s="93" t="str">
        <f>+'S&amp;D'!B31</f>
        <v>WES</v>
      </c>
      <c r="C24" s="34" t="str">
        <f>+'S&amp;D'!C31</f>
        <v>Pipeline MLPs</v>
      </c>
      <c r="D24" s="53">
        <f>+'Beta for CAPM'!D27</f>
        <v>0.01</v>
      </c>
      <c r="E24" s="34" t="str">
        <f>+'Beta for CAPM'!G27</f>
        <v>B</v>
      </c>
      <c r="F24" s="34" t="s">
        <v>339</v>
      </c>
      <c r="G24" s="314">
        <v>12</v>
      </c>
      <c r="H24" s="63" t="s">
        <v>59</v>
      </c>
      <c r="I24" s="314">
        <v>12</v>
      </c>
      <c r="J24" s="67">
        <v>5.9700000000000003E-2</v>
      </c>
      <c r="L24" s="12"/>
      <c r="M24" s="12"/>
    </row>
    <row r="25" spans="1:13" ht="15.75" thickBot="1">
      <c r="A25" s="12"/>
      <c r="B25" s="12"/>
      <c r="C25" s="43"/>
      <c r="D25" s="46"/>
      <c r="E25" s="46"/>
      <c r="F25" s="46"/>
      <c r="G25" s="46"/>
      <c r="H25" s="46" t="s">
        <v>45</v>
      </c>
      <c r="I25" s="46"/>
      <c r="J25" s="46"/>
      <c r="L25" s="12"/>
      <c r="M25" s="12"/>
    </row>
    <row r="26" spans="1:13" ht="15.75" thickTop="1">
      <c r="A26" s="12"/>
      <c r="B26" s="12"/>
      <c r="E26" s="14" t="s">
        <v>46</v>
      </c>
      <c r="G26" s="315">
        <v>15</v>
      </c>
      <c r="H26" s="340" t="s">
        <v>0</v>
      </c>
      <c r="I26" s="373">
        <v>15</v>
      </c>
      <c r="J26" s="340">
        <v>8.2299999999999998E-2</v>
      </c>
      <c r="L26" s="12"/>
      <c r="M26" s="12"/>
    </row>
    <row r="27" spans="1:13">
      <c r="A27" s="12"/>
      <c r="B27" s="12"/>
      <c r="E27" s="383" t="s">
        <v>47</v>
      </c>
      <c r="F27" s="265"/>
      <c r="G27" s="316">
        <v>10</v>
      </c>
      <c r="H27" s="341" t="s">
        <v>0</v>
      </c>
      <c r="I27" s="374">
        <v>10</v>
      </c>
      <c r="J27" s="341">
        <v>5.9700000000000003E-2</v>
      </c>
      <c r="L27" s="12"/>
      <c r="M27" s="12"/>
    </row>
    <row r="28" spans="1:13">
      <c r="A28" s="12"/>
      <c r="B28" s="12"/>
      <c r="E28" s="14" t="s">
        <v>18</v>
      </c>
      <c r="G28" s="235">
        <f>MEDIAN(G15:G24)</f>
        <v>12</v>
      </c>
      <c r="H28" s="55" t="s">
        <v>0</v>
      </c>
      <c r="I28" s="236">
        <f>MEDIAN(I15:I24)</f>
        <v>12.5</v>
      </c>
      <c r="J28" s="55">
        <f>MEDIAN(J15:J24)</f>
        <v>6.7049999999999998E-2</v>
      </c>
      <c r="L28" s="12"/>
      <c r="M28" s="12"/>
    </row>
    <row r="29" spans="1:13">
      <c r="A29" s="12"/>
      <c r="B29" s="12"/>
      <c r="D29" s="14" t="s">
        <v>0</v>
      </c>
      <c r="E29" s="14" t="s">
        <v>473</v>
      </c>
      <c r="G29" s="236">
        <f>AVERAGE(G15:G24)</f>
        <v>11.8</v>
      </c>
      <c r="H29" s="55" t="s">
        <v>0</v>
      </c>
      <c r="I29" s="236">
        <f>AVERAGE(I15:I24)</f>
        <v>12.5</v>
      </c>
      <c r="J29" s="55">
        <f>AVERAGE(J15:J24)</f>
        <v>6.7839999999999984E-2</v>
      </c>
      <c r="L29" s="12"/>
      <c r="M29" s="12"/>
    </row>
    <row r="30" spans="1:13">
      <c r="A30" s="12"/>
      <c r="B30" s="12"/>
      <c r="D30" s="56" t="s">
        <v>0</v>
      </c>
      <c r="E30" s="14" t="s">
        <v>275</v>
      </c>
      <c r="G30" s="236">
        <f>TRIMMEAN(G15:G24,(2/COUNT(G15:G24)))</f>
        <v>11.625</v>
      </c>
      <c r="H30" s="55" t="s">
        <v>0</v>
      </c>
      <c r="I30" s="236">
        <f>TRIMMEAN(I15:I24,(2/COUNT(I15:I24)))</f>
        <v>12.5</v>
      </c>
      <c r="J30" s="55">
        <f>TRIMMEAN(J15:J24,(2/COUNT(J15:J24)))</f>
        <v>6.7049999999999985E-2</v>
      </c>
      <c r="L30" s="12"/>
      <c r="M30" s="12"/>
    </row>
    <row r="31" spans="1:13" ht="15.75" thickBot="1">
      <c r="A31" s="12"/>
      <c r="B31" s="12"/>
      <c r="C31" s="12"/>
      <c r="D31" s="12"/>
      <c r="E31" s="14"/>
      <c r="F31" s="56"/>
      <c r="H31" s="12"/>
      <c r="I31" s="12"/>
      <c r="J31" s="12"/>
      <c r="K31" s="12"/>
      <c r="L31" s="12"/>
      <c r="M31" s="12"/>
    </row>
    <row r="32" spans="1:13" ht="21" thickBot="1">
      <c r="A32" s="12"/>
      <c r="B32" s="12"/>
      <c r="C32" s="12"/>
      <c r="D32" s="12"/>
      <c r="E32" s="12"/>
      <c r="F32" s="204"/>
      <c r="G32" s="357"/>
      <c r="H32" s="205" t="s">
        <v>247</v>
      </c>
      <c r="I32" s="207">
        <v>13</v>
      </c>
      <c r="J32" s="206">
        <v>6.7799999999999999E-2</v>
      </c>
      <c r="K32" s="12"/>
      <c r="L32" s="12"/>
      <c r="M32" s="12"/>
    </row>
    <row r="33" spans="1:13">
      <c r="A33" s="12"/>
      <c r="B33" s="12"/>
      <c r="C33" s="12"/>
      <c r="D33" s="12"/>
      <c r="E33" s="12"/>
      <c r="F33" s="12"/>
      <c r="G33" s="12"/>
      <c r="H33" s="12"/>
      <c r="I33" s="12"/>
      <c r="J33" s="12"/>
      <c r="K33" s="12"/>
      <c r="L33" s="12"/>
      <c r="M33" s="12"/>
    </row>
    <row r="34" spans="1:13">
      <c r="A34" s="12"/>
      <c r="B34" s="12"/>
      <c r="C34" s="12"/>
      <c r="D34" s="12"/>
      <c r="E34" s="12"/>
      <c r="F34" s="12"/>
      <c r="G34" s="12"/>
      <c r="H34" s="12"/>
      <c r="I34" s="12"/>
      <c r="J34" s="12"/>
      <c r="K34" s="12"/>
      <c r="L34" s="12"/>
      <c r="M34" s="12"/>
    </row>
    <row r="35" spans="1:13" ht="18.75" thickBot="1">
      <c r="A35" s="301" t="s">
        <v>149</v>
      </c>
      <c r="B35" s="12"/>
      <c r="G35" s="12"/>
      <c r="H35" s="12"/>
      <c r="I35" s="12"/>
      <c r="J35" s="12"/>
      <c r="K35" s="12"/>
      <c r="L35" s="12"/>
      <c r="M35" s="12"/>
    </row>
    <row r="36" spans="1:13" ht="18.75" thickBot="1">
      <c r="A36" s="308" t="s">
        <v>460</v>
      </c>
      <c r="B36" s="308" t="s">
        <v>348</v>
      </c>
      <c r="C36" s="308" t="s">
        <v>475</v>
      </c>
      <c r="D36" s="453" t="s">
        <v>476</v>
      </c>
      <c r="E36" s="453" t="s">
        <v>477</v>
      </c>
      <c r="F36" s="12"/>
      <c r="G36" s="12"/>
      <c r="H36" s="12"/>
      <c r="I36" s="12"/>
      <c r="M36" s="12"/>
    </row>
    <row r="37" spans="1:13" ht="15.75">
      <c r="A37" s="309" t="s">
        <v>360</v>
      </c>
      <c r="B37" s="313">
        <v>1</v>
      </c>
      <c r="C37" s="310" t="s">
        <v>359</v>
      </c>
      <c r="D37" s="454" t="s">
        <v>0</v>
      </c>
      <c r="E37" s="454" t="s">
        <v>0</v>
      </c>
      <c r="F37" s="12"/>
      <c r="G37" s="12"/>
      <c r="H37" s="12"/>
      <c r="I37" s="12"/>
      <c r="M37" s="12"/>
    </row>
    <row r="38" spans="1:13" ht="15.75">
      <c r="A38" s="58" t="s">
        <v>361</v>
      </c>
      <c r="B38" s="303">
        <v>2</v>
      </c>
      <c r="C38" s="311" t="s">
        <v>333</v>
      </c>
      <c r="D38" s="420">
        <v>4.8099999999999997E-2</v>
      </c>
      <c r="E38" s="420">
        <v>4.8099999999999997E-2</v>
      </c>
      <c r="F38" s="12" t="s">
        <v>200</v>
      </c>
      <c r="H38" s="12"/>
      <c r="I38" s="12"/>
      <c r="M38" s="12"/>
    </row>
    <row r="39" spans="1:13" ht="16.5" thickBot="1">
      <c r="A39" s="59" t="s">
        <v>362</v>
      </c>
      <c r="B39" s="305">
        <v>3</v>
      </c>
      <c r="C39" s="312" t="s">
        <v>358</v>
      </c>
      <c r="D39" s="455" t="s">
        <v>0</v>
      </c>
      <c r="E39" s="455" t="s">
        <v>0</v>
      </c>
      <c r="F39" s="12"/>
      <c r="H39" s="12"/>
      <c r="I39" s="12"/>
      <c r="M39" s="12"/>
    </row>
    <row r="40" spans="1:13" ht="15.75">
      <c r="A40" s="58" t="s">
        <v>148</v>
      </c>
      <c r="B40" s="303">
        <v>4</v>
      </c>
      <c r="C40" s="304" t="s">
        <v>332</v>
      </c>
      <c r="D40" s="420" t="s">
        <v>0</v>
      </c>
      <c r="E40" s="420" t="s">
        <v>0</v>
      </c>
      <c r="F40" s="12"/>
      <c r="H40" s="12"/>
      <c r="I40" s="12"/>
      <c r="M40" s="12"/>
    </row>
    <row r="41" spans="1:13" ht="15.75">
      <c r="A41" s="58" t="s">
        <v>147</v>
      </c>
      <c r="B41" s="303">
        <v>5</v>
      </c>
      <c r="C41" s="304" t="s">
        <v>334</v>
      </c>
      <c r="D41" s="420">
        <v>5.1299999999999998E-2</v>
      </c>
      <c r="E41" s="420">
        <v>5.4300000000000001E-2</v>
      </c>
      <c r="F41" s="12" t="s">
        <v>335</v>
      </c>
      <c r="H41" s="12"/>
      <c r="I41" s="12"/>
      <c r="M41" s="12"/>
    </row>
    <row r="42" spans="1:13" ht="16.5" thickBot="1">
      <c r="A42" s="59" t="s">
        <v>146</v>
      </c>
      <c r="B42" s="305">
        <v>6</v>
      </c>
      <c r="C42" s="306" t="s">
        <v>336</v>
      </c>
      <c r="D42" s="456" t="s">
        <v>0</v>
      </c>
      <c r="E42" s="456" t="s">
        <v>0</v>
      </c>
      <c r="F42" s="12"/>
      <c r="H42" s="12"/>
      <c r="I42" s="12"/>
      <c r="M42" s="12"/>
    </row>
    <row r="43" spans="1:13" ht="15.75">
      <c r="A43" s="58" t="s">
        <v>56</v>
      </c>
      <c r="B43" s="303">
        <v>7</v>
      </c>
      <c r="C43" s="304" t="s">
        <v>44</v>
      </c>
      <c r="D43" s="457" t="s">
        <v>0</v>
      </c>
      <c r="E43" s="457" t="s">
        <v>0</v>
      </c>
      <c r="H43" s="12"/>
      <c r="I43" s="12"/>
      <c r="M43" s="12"/>
    </row>
    <row r="44" spans="1:13" ht="15.75">
      <c r="A44" s="58" t="s">
        <v>145</v>
      </c>
      <c r="B44" s="303">
        <v>8</v>
      </c>
      <c r="C44" s="304" t="s">
        <v>24</v>
      </c>
      <c r="D44" s="421">
        <v>5.4800000000000001E-2</v>
      </c>
      <c r="E44" s="421">
        <v>5.6399999999999999E-2</v>
      </c>
      <c r="F44" s="12" t="s">
        <v>201</v>
      </c>
      <c r="H44" s="12"/>
      <c r="I44" s="12"/>
      <c r="M44" s="12"/>
    </row>
    <row r="45" spans="1:13" ht="16.5" thickBot="1">
      <c r="A45" s="59" t="s">
        <v>58</v>
      </c>
      <c r="B45" s="305">
        <v>9</v>
      </c>
      <c r="C45" s="306" t="s">
        <v>60</v>
      </c>
      <c r="D45" s="456" t="s">
        <v>0</v>
      </c>
      <c r="E45" s="456" t="s">
        <v>0</v>
      </c>
      <c r="F45" s="12"/>
      <c r="H45" s="12"/>
      <c r="I45" s="12"/>
      <c r="M45" s="12"/>
    </row>
    <row r="46" spans="1:13" ht="15.75">
      <c r="A46" s="58" t="s">
        <v>53</v>
      </c>
      <c r="B46" s="303">
        <v>10</v>
      </c>
      <c r="C46" s="304" t="s">
        <v>337</v>
      </c>
      <c r="D46" s="421" t="s">
        <v>0</v>
      </c>
      <c r="E46" s="421" t="s">
        <v>0</v>
      </c>
      <c r="H46" s="12"/>
      <c r="I46" s="12"/>
      <c r="J46" s="12"/>
      <c r="K46" s="12"/>
      <c r="L46" s="12"/>
      <c r="M46" s="12"/>
    </row>
    <row r="47" spans="1:13" ht="15.75">
      <c r="A47" s="58" t="s">
        <v>54</v>
      </c>
      <c r="B47" s="303">
        <v>11</v>
      </c>
      <c r="C47" s="304" t="s">
        <v>338</v>
      </c>
      <c r="D47" s="421">
        <v>5.9700000000000003E-2</v>
      </c>
      <c r="E47" s="421">
        <v>5.9299999999999999E-2</v>
      </c>
      <c r="F47" s="12" t="s">
        <v>204</v>
      </c>
      <c r="H47" s="12"/>
      <c r="I47" s="12"/>
      <c r="J47" s="12"/>
      <c r="K47" s="12"/>
      <c r="L47" s="12"/>
      <c r="M47" s="12"/>
    </row>
    <row r="48" spans="1:13" ht="16.5" thickBot="1">
      <c r="A48" s="59" t="s">
        <v>59</v>
      </c>
      <c r="B48" s="305">
        <v>12</v>
      </c>
      <c r="C48" s="306" t="s">
        <v>339</v>
      </c>
      <c r="D48" s="421" t="s">
        <v>0</v>
      </c>
      <c r="E48" s="421" t="s">
        <v>0</v>
      </c>
      <c r="F48" s="12"/>
      <c r="H48" s="12"/>
      <c r="I48" s="12"/>
      <c r="J48" s="12"/>
      <c r="K48" s="12"/>
      <c r="L48" s="12"/>
      <c r="M48" s="12"/>
    </row>
    <row r="49" spans="1:13" ht="15.75">
      <c r="A49" s="58" t="s">
        <v>57</v>
      </c>
      <c r="B49" s="303">
        <v>13</v>
      </c>
      <c r="C49" s="304" t="s">
        <v>340</v>
      </c>
      <c r="D49" s="457" t="s">
        <v>0</v>
      </c>
      <c r="E49" s="457" t="s">
        <v>0</v>
      </c>
      <c r="H49" s="12"/>
      <c r="I49" s="12"/>
      <c r="J49" s="12"/>
      <c r="K49" s="12"/>
      <c r="L49" s="12"/>
      <c r="M49" s="12"/>
    </row>
    <row r="50" spans="1:13" ht="15.75">
      <c r="A50" s="58" t="s">
        <v>144</v>
      </c>
      <c r="B50" s="303">
        <v>14</v>
      </c>
      <c r="C50" s="304" t="s">
        <v>341</v>
      </c>
      <c r="D50" s="420">
        <v>7.4440000000000006E-2</v>
      </c>
      <c r="E50" s="420">
        <v>7.3899999999999993E-2</v>
      </c>
      <c r="F50" s="12" t="s">
        <v>203</v>
      </c>
      <c r="H50" s="12"/>
      <c r="I50" s="12"/>
      <c r="J50" s="12"/>
      <c r="K50" s="12"/>
      <c r="L50" s="12"/>
      <c r="M50" s="12"/>
    </row>
    <row r="51" spans="1:13" ht="16.5" thickBot="1">
      <c r="A51" s="59" t="s">
        <v>143</v>
      </c>
      <c r="B51" s="305">
        <v>15</v>
      </c>
      <c r="C51" s="306" t="s">
        <v>342</v>
      </c>
      <c r="D51" s="455" t="s">
        <v>0</v>
      </c>
      <c r="E51" s="455" t="s">
        <v>0</v>
      </c>
      <c r="F51" s="12"/>
      <c r="H51" s="12"/>
      <c r="I51" s="12"/>
      <c r="J51" s="12"/>
      <c r="K51" s="12"/>
      <c r="L51" s="12"/>
      <c r="M51" s="12"/>
    </row>
    <row r="52" spans="1:13" ht="15.75">
      <c r="A52" s="58" t="s">
        <v>142</v>
      </c>
      <c r="B52" s="303">
        <v>16</v>
      </c>
      <c r="C52" s="304" t="s">
        <v>25</v>
      </c>
      <c r="D52" s="457"/>
      <c r="E52" s="457"/>
      <c r="H52" s="12"/>
      <c r="I52" s="12"/>
      <c r="J52" s="12"/>
      <c r="K52" s="12"/>
      <c r="L52" s="12"/>
      <c r="M52" s="12"/>
    </row>
    <row r="53" spans="1:13" ht="15.75">
      <c r="A53" s="58" t="s">
        <v>141</v>
      </c>
      <c r="B53" s="303">
        <v>17</v>
      </c>
      <c r="C53" s="304" t="s">
        <v>92</v>
      </c>
      <c r="D53" s="421">
        <v>8.2299999999999998E-2</v>
      </c>
      <c r="E53" s="421">
        <v>8.1699999999999995E-2</v>
      </c>
      <c r="F53" s="12" t="s">
        <v>202</v>
      </c>
      <c r="H53" s="12"/>
      <c r="I53" s="12"/>
      <c r="J53" s="12"/>
      <c r="K53" s="12"/>
      <c r="L53" s="12"/>
      <c r="M53" s="12"/>
    </row>
    <row r="54" spans="1:13" ht="16.5" thickBot="1">
      <c r="A54" s="59" t="s">
        <v>140</v>
      </c>
      <c r="B54" s="305">
        <v>18</v>
      </c>
      <c r="C54" s="306" t="s">
        <v>343</v>
      </c>
      <c r="D54" s="455"/>
      <c r="E54" s="455"/>
      <c r="F54" s="12"/>
      <c r="H54" s="12"/>
      <c r="I54" s="12"/>
      <c r="J54" s="12"/>
      <c r="K54" s="12"/>
      <c r="L54" s="12"/>
      <c r="M54" s="12"/>
    </row>
    <row r="55" spans="1:13" ht="15.75">
      <c r="A55" s="58" t="s">
        <v>139</v>
      </c>
      <c r="B55" s="303">
        <v>19</v>
      </c>
      <c r="C55" s="304" t="s">
        <v>344</v>
      </c>
      <c r="D55" s="421"/>
      <c r="E55" s="421"/>
      <c r="H55" s="12"/>
      <c r="I55" s="12"/>
      <c r="J55" s="12"/>
      <c r="K55" s="12"/>
      <c r="L55" s="12"/>
      <c r="M55" s="12"/>
    </row>
    <row r="56" spans="1:13" ht="15.75">
      <c r="A56" s="58" t="s">
        <v>138</v>
      </c>
      <c r="B56" s="303">
        <v>20</v>
      </c>
      <c r="C56" s="304" t="s">
        <v>345</v>
      </c>
      <c r="D56" s="421">
        <v>9.0200000000000002E-2</v>
      </c>
      <c r="E56" s="421">
        <v>8.9499999999999996E-2</v>
      </c>
      <c r="F56" s="12" t="s">
        <v>199</v>
      </c>
      <c r="H56" s="12"/>
      <c r="I56" s="12"/>
      <c r="J56" s="12"/>
      <c r="K56" s="12"/>
      <c r="L56" s="12"/>
      <c r="M56" s="12"/>
    </row>
    <row r="57" spans="1:13" ht="16.5" thickBot="1">
      <c r="A57" s="58" t="s">
        <v>137</v>
      </c>
      <c r="B57" s="303">
        <v>21</v>
      </c>
      <c r="C57" s="306" t="s">
        <v>346</v>
      </c>
      <c r="D57" s="456"/>
      <c r="E57" s="456"/>
      <c r="F57" s="12"/>
      <c r="H57" s="12"/>
      <c r="I57" s="12"/>
      <c r="J57" s="12"/>
      <c r="K57" s="12"/>
      <c r="L57" s="12"/>
      <c r="M57" s="12"/>
    </row>
    <row r="58" spans="1:13" ht="15.75">
      <c r="A58" s="60" t="s">
        <v>353</v>
      </c>
      <c r="B58" s="302">
        <v>22</v>
      </c>
      <c r="C58" s="57" t="s">
        <v>356</v>
      </c>
      <c r="D58" s="458"/>
      <c r="E58" s="458"/>
      <c r="H58" s="12"/>
      <c r="I58" s="12"/>
      <c r="J58" s="12"/>
      <c r="K58" s="12"/>
      <c r="L58" s="12"/>
      <c r="M58" s="12"/>
    </row>
    <row r="59" spans="1:13" ht="15.75">
      <c r="A59" s="60" t="s">
        <v>354</v>
      </c>
      <c r="B59" s="302">
        <v>23</v>
      </c>
      <c r="C59" s="57" t="s">
        <v>347</v>
      </c>
      <c r="D59" s="459"/>
      <c r="E59" s="459"/>
      <c r="F59" s="12" t="s">
        <v>197</v>
      </c>
      <c r="H59" s="12"/>
      <c r="I59" s="12"/>
      <c r="J59" s="12"/>
      <c r="K59" s="12"/>
      <c r="L59" s="12"/>
      <c r="M59" s="12"/>
    </row>
    <row r="60" spans="1:13" ht="16.5" thickBot="1">
      <c r="A60" s="60" t="s">
        <v>355</v>
      </c>
      <c r="B60" s="302">
        <v>24</v>
      </c>
      <c r="C60" s="57" t="s">
        <v>357</v>
      </c>
      <c r="D60" s="460"/>
      <c r="E60" s="460"/>
      <c r="F60" s="12"/>
      <c r="H60" s="12"/>
      <c r="I60" s="12"/>
      <c r="J60" s="12"/>
      <c r="K60" s="12"/>
      <c r="L60" s="12"/>
      <c r="M60" s="12"/>
    </row>
    <row r="61" spans="1:13" ht="16.5" thickBot="1">
      <c r="A61" s="57" t="s">
        <v>277</v>
      </c>
      <c r="B61" s="302">
        <v>25</v>
      </c>
      <c r="C61" s="59" t="s">
        <v>93</v>
      </c>
      <c r="D61" s="461"/>
      <c r="E61" s="461"/>
      <c r="F61" s="12" t="s">
        <v>198</v>
      </c>
      <c r="H61" s="12"/>
      <c r="I61" s="12"/>
      <c r="J61" s="12"/>
      <c r="K61" s="12"/>
      <c r="L61" s="12"/>
    </row>
  </sheetData>
  <pageMargins left="0.25" right="0.25" top="0.75" bottom="0.75" header="0.3" footer="0.3"/>
  <pageSetup scale="4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41"/>
  <sheetViews>
    <sheetView view="pageBreakPreview" zoomScale="60" zoomScaleNormal="80" workbookViewId="0">
      <selection activeCell="F5" sqref="F5"/>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3" t="s">
        <v>1</v>
      </c>
      <c r="B1" s="12"/>
      <c r="C1" s="12"/>
      <c r="D1" s="12"/>
      <c r="E1" s="12"/>
      <c r="F1" s="12"/>
      <c r="G1" s="12"/>
      <c r="H1" s="12"/>
      <c r="I1" s="12"/>
      <c r="J1" s="12"/>
      <c r="K1" s="12"/>
      <c r="L1" s="12"/>
      <c r="M1" s="12"/>
      <c r="N1" s="12"/>
    </row>
    <row r="2" spans="1:14" ht="15.75">
      <c r="A2" s="64" t="s">
        <v>9</v>
      </c>
      <c r="B2" s="12"/>
      <c r="C2" s="12"/>
      <c r="D2" s="12"/>
      <c r="E2" s="12"/>
      <c r="F2" s="12"/>
      <c r="G2" s="12"/>
      <c r="H2" s="12"/>
      <c r="I2" s="12"/>
      <c r="J2" s="12"/>
      <c r="K2" s="12"/>
      <c r="L2" s="12"/>
      <c r="M2" s="12"/>
      <c r="N2" s="12"/>
    </row>
    <row r="3" spans="1:14">
      <c r="A3" s="25" t="s">
        <v>63</v>
      </c>
      <c r="B3" s="12"/>
      <c r="C3" s="12"/>
      <c r="D3" s="12"/>
      <c r="E3" s="12"/>
      <c r="F3" s="12"/>
      <c r="G3" s="12"/>
      <c r="H3" s="12"/>
      <c r="I3" s="12"/>
      <c r="J3" s="12"/>
      <c r="K3" s="12"/>
      <c r="L3" s="12"/>
      <c r="M3" s="12"/>
      <c r="N3" s="12"/>
    </row>
    <row r="4" spans="1:14">
      <c r="A4" s="12"/>
      <c r="B4" s="12"/>
      <c r="C4" s="12"/>
      <c r="D4" s="26" t="s">
        <v>0</v>
      </c>
      <c r="E4" s="12"/>
      <c r="F4" s="12"/>
      <c r="G4" s="12"/>
      <c r="H4" s="12"/>
      <c r="I4" s="12"/>
      <c r="J4" s="12"/>
      <c r="K4" s="12"/>
      <c r="L4" s="12"/>
      <c r="M4" s="12"/>
      <c r="N4" s="12"/>
    </row>
    <row r="5" spans="1:14" ht="16.5" thickBot="1">
      <c r="A5" s="64"/>
      <c r="B5" s="12"/>
      <c r="C5" s="12"/>
      <c r="D5" s="12"/>
      <c r="E5" s="12"/>
      <c r="F5" s="12"/>
      <c r="G5" s="12"/>
      <c r="H5" s="12"/>
      <c r="I5" s="12"/>
      <c r="J5" s="12"/>
      <c r="K5" s="12"/>
      <c r="L5" s="12"/>
      <c r="M5" s="12"/>
      <c r="N5" s="12"/>
    </row>
    <row r="6" spans="1:14" ht="16.5" thickBot="1">
      <c r="A6" s="287" t="str">
        <f>+'S&amp;D'!A12</f>
        <v>Liquid Transportation Pipeline Carriers</v>
      </c>
      <c r="B6" s="211"/>
      <c r="C6" s="12"/>
      <c r="D6" s="12"/>
      <c r="E6" s="12"/>
      <c r="F6" s="12"/>
      <c r="G6" s="12"/>
      <c r="H6" s="12"/>
      <c r="I6" s="12"/>
      <c r="J6" s="12"/>
      <c r="K6" s="12"/>
      <c r="L6" s="12"/>
      <c r="M6" s="12"/>
      <c r="N6" s="12"/>
    </row>
    <row r="7" spans="1:14" ht="15.75">
      <c r="A7" s="64"/>
      <c r="B7" s="12"/>
      <c r="C7" s="12"/>
      <c r="D7" s="12"/>
      <c r="E7" s="12"/>
      <c r="F7" s="12"/>
      <c r="G7" s="12"/>
      <c r="H7" s="12"/>
      <c r="I7" s="12"/>
      <c r="J7" s="12"/>
      <c r="K7" s="12"/>
      <c r="L7" s="12"/>
      <c r="M7" s="12"/>
      <c r="N7" s="12"/>
    </row>
    <row r="8" spans="1:14" ht="16.5" thickBot="1">
      <c r="A8" s="64"/>
      <c r="B8" s="12"/>
      <c r="C8" s="28"/>
      <c r="D8" s="28"/>
      <c r="E8" s="28"/>
      <c r="F8" s="12"/>
      <c r="G8" s="12"/>
      <c r="H8" s="28"/>
      <c r="I8" s="28"/>
      <c r="J8" s="28"/>
      <c r="K8" s="28"/>
      <c r="L8" s="28"/>
      <c r="M8" s="28"/>
      <c r="N8" s="12"/>
    </row>
    <row r="9" spans="1:14" ht="20.25">
      <c r="B9" s="12"/>
      <c r="C9" s="12"/>
      <c r="D9" s="31" t="s">
        <v>319</v>
      </c>
      <c r="E9" s="12"/>
      <c r="F9" s="12"/>
      <c r="G9" s="12"/>
      <c r="H9" s="12"/>
      <c r="I9" s="12"/>
      <c r="J9" s="12"/>
      <c r="K9" s="70" t="s">
        <v>320</v>
      </c>
      <c r="L9" s="12"/>
      <c r="M9" s="12"/>
      <c r="N9" s="12"/>
    </row>
    <row r="10" spans="1:14" ht="18.75" thickBot="1">
      <c r="A10" s="30"/>
      <c r="B10" s="12"/>
      <c r="C10" s="28"/>
      <c r="D10" s="32" t="s">
        <v>77</v>
      </c>
      <c r="E10" s="28"/>
      <c r="F10" s="12"/>
      <c r="G10" s="12"/>
      <c r="H10" s="28"/>
      <c r="I10" s="28"/>
      <c r="J10" s="28"/>
      <c r="K10" s="32" t="s">
        <v>77</v>
      </c>
      <c r="L10" s="28"/>
      <c r="M10" s="28"/>
      <c r="N10" s="12"/>
    </row>
    <row r="11" spans="1:14" ht="15.75" thickBot="1">
      <c r="A11" s="33" t="s">
        <v>0</v>
      </c>
      <c r="B11" s="33" t="s">
        <v>0</v>
      </c>
      <c r="C11" s="33" t="s">
        <v>0</v>
      </c>
      <c r="D11" s="33" t="s">
        <v>0</v>
      </c>
      <c r="E11" s="33" t="s">
        <v>0</v>
      </c>
      <c r="F11" s="33" t="s">
        <v>0</v>
      </c>
      <c r="G11" s="40"/>
      <c r="H11" s="28"/>
      <c r="I11" s="33" t="s">
        <v>0</v>
      </c>
      <c r="J11" s="28"/>
      <c r="K11" s="28"/>
      <c r="L11" s="28"/>
      <c r="M11" s="28"/>
      <c r="N11" s="12"/>
    </row>
    <row r="12" spans="1:14">
      <c r="A12" s="34" t="s">
        <v>0</v>
      </c>
      <c r="B12" s="34" t="s">
        <v>3</v>
      </c>
      <c r="C12" s="34" t="s">
        <v>363</v>
      </c>
      <c r="D12" s="34" t="s">
        <v>113</v>
      </c>
      <c r="E12" s="34" t="s">
        <v>113</v>
      </c>
      <c r="F12" s="34" t="s">
        <v>27</v>
      </c>
      <c r="G12" s="34"/>
      <c r="H12" s="34" t="s">
        <v>3</v>
      </c>
      <c r="I12" s="34" t="s">
        <v>363</v>
      </c>
      <c r="J12" s="34" t="s">
        <v>113</v>
      </c>
      <c r="K12" s="34"/>
      <c r="L12" s="34" t="s">
        <v>113</v>
      </c>
      <c r="M12" s="34" t="s">
        <v>27</v>
      </c>
      <c r="N12" s="12"/>
    </row>
    <row r="13" spans="1:14" ht="15.75" thickBot="1">
      <c r="A13" s="36" t="s">
        <v>2</v>
      </c>
      <c r="B13" s="36" t="s">
        <v>4</v>
      </c>
      <c r="C13" s="36" t="s">
        <v>28</v>
      </c>
      <c r="D13" s="36" t="s">
        <v>172</v>
      </c>
      <c r="E13" s="36" t="s">
        <v>29</v>
      </c>
      <c r="F13" s="36" t="s">
        <v>30</v>
      </c>
      <c r="G13" s="34"/>
      <c r="H13" s="36" t="s">
        <v>4</v>
      </c>
      <c r="I13" s="36" t="s">
        <v>28</v>
      </c>
      <c r="J13" s="36" t="s">
        <v>172</v>
      </c>
      <c r="K13" s="36"/>
      <c r="L13" s="36" t="s">
        <v>29</v>
      </c>
      <c r="M13" s="36" t="s">
        <v>30</v>
      </c>
      <c r="N13" s="12"/>
    </row>
    <row r="14" spans="1:14">
      <c r="A14" s="38" t="s">
        <v>0</v>
      </c>
      <c r="B14" s="38" t="s">
        <v>0</v>
      </c>
      <c r="C14" s="39" t="s">
        <v>116</v>
      </c>
      <c r="D14" s="38" t="s">
        <v>117</v>
      </c>
      <c r="E14" s="38" t="s">
        <v>0</v>
      </c>
      <c r="F14" s="38" t="s">
        <v>0</v>
      </c>
      <c r="G14" s="40"/>
      <c r="H14" s="38" t="s">
        <v>0</v>
      </c>
      <c r="I14" s="39" t="s">
        <v>116</v>
      </c>
      <c r="J14" s="38" t="s">
        <v>118</v>
      </c>
      <c r="K14" s="38"/>
      <c r="L14" s="38" t="s">
        <v>0</v>
      </c>
      <c r="M14" s="38" t="s">
        <v>0</v>
      </c>
      <c r="N14" s="12"/>
    </row>
    <row r="15" spans="1:14">
      <c r="A15" s="34"/>
      <c r="B15" s="34"/>
      <c r="C15" s="34"/>
      <c r="D15" s="34"/>
      <c r="E15" s="34"/>
      <c r="F15" s="34"/>
      <c r="G15" s="34"/>
      <c r="H15" s="34"/>
      <c r="I15" s="34"/>
      <c r="J15" s="34"/>
      <c r="K15" s="34"/>
      <c r="L15" s="34"/>
      <c r="M15" s="34"/>
      <c r="N15" s="12"/>
    </row>
    <row r="16" spans="1:14">
      <c r="A16" s="12"/>
      <c r="B16" s="12"/>
      <c r="C16" s="12"/>
      <c r="D16" s="12"/>
      <c r="E16" s="12"/>
      <c r="F16" s="12"/>
      <c r="G16" s="12"/>
      <c r="H16" s="12"/>
      <c r="I16" s="12"/>
      <c r="J16" s="12"/>
      <c r="K16" s="12"/>
      <c r="L16" s="12"/>
      <c r="M16" s="12"/>
      <c r="N16" s="12"/>
    </row>
    <row r="17" spans="1:14" ht="15.75">
      <c r="A17" s="64" t="str">
        <f>+'S&amp;D'!A22</f>
        <v>DCP Midstream LP</v>
      </c>
      <c r="B17" s="93" t="str">
        <f>+'S&amp;D'!B22</f>
        <v>DCP</v>
      </c>
      <c r="C17" s="61">
        <f>+'S&amp;D'!G22</f>
        <v>38.79</v>
      </c>
      <c r="D17" s="63">
        <v>6.2</v>
      </c>
      <c r="E17" s="71">
        <f>C17/D17</f>
        <v>6.2564516129032253</v>
      </c>
      <c r="F17" s="56">
        <f t="shared" ref="F17:F26" si="0">1/E17</f>
        <v>0.15983500902294406</v>
      </c>
      <c r="G17" s="56"/>
      <c r="H17" s="93" t="str">
        <f>+B17</f>
        <v>DCP</v>
      </c>
      <c r="I17" s="61">
        <f>+C17</f>
        <v>38.79</v>
      </c>
      <c r="J17" s="327">
        <v>6.45</v>
      </c>
      <c r="K17" s="63"/>
      <c r="L17" s="71">
        <f>I17/J17</f>
        <v>6.0139534883720929</v>
      </c>
      <c r="M17" s="56">
        <f t="shared" ref="M17:M26" si="1">1/L17</f>
        <v>0.16627996906419182</v>
      </c>
      <c r="N17" s="12"/>
    </row>
    <row r="18" spans="1:14" ht="15.75">
      <c r="A18" s="64" t="str">
        <f>+'S&amp;D'!A23</f>
        <v>Energy Transfer LP</v>
      </c>
      <c r="B18" s="93" t="str">
        <f>+'S&amp;D'!B23</f>
        <v>ET</v>
      </c>
      <c r="C18" s="61">
        <f>+'S&amp;D'!G23</f>
        <v>11.87</v>
      </c>
      <c r="D18" s="63">
        <v>2.8</v>
      </c>
      <c r="E18" s="71">
        <f t="shared" ref="E18:E22" si="2">C18/D18</f>
        <v>4.2392857142857139</v>
      </c>
      <c r="F18" s="56">
        <f t="shared" ref="F18:F22" si="3">1/E18</f>
        <v>0.23588879528222412</v>
      </c>
      <c r="G18" s="56"/>
      <c r="H18" s="93" t="str">
        <f t="shared" ref="H18:H22" si="4">+B18</f>
        <v>ET</v>
      </c>
      <c r="I18" s="61">
        <f t="shared" ref="I18:I22" si="5">+C18</f>
        <v>11.87</v>
      </c>
      <c r="J18" s="327">
        <v>3.05</v>
      </c>
      <c r="K18" s="63"/>
      <c r="L18" s="71">
        <f t="shared" ref="L18:L22" si="6">I18/J18</f>
        <v>3.8918032786885246</v>
      </c>
      <c r="M18" s="56">
        <f t="shared" ref="M18:M22" si="7">1/L18</f>
        <v>0.25695029486099408</v>
      </c>
      <c r="N18" s="12"/>
    </row>
    <row r="19" spans="1:14" ht="15.75">
      <c r="A19" s="64" t="str">
        <f>+'S&amp;D'!A24</f>
        <v>Enterprise Products Partnership LP</v>
      </c>
      <c r="B19" s="93" t="str">
        <f>+'S&amp;D'!B24</f>
        <v>EPD</v>
      </c>
      <c r="C19" s="61">
        <f>+'S&amp;D'!G24</f>
        <v>24.12</v>
      </c>
      <c r="D19" s="63">
        <v>3.6</v>
      </c>
      <c r="E19" s="71">
        <f t="shared" si="2"/>
        <v>6.7</v>
      </c>
      <c r="F19" s="56">
        <f t="shared" si="3"/>
        <v>0.14925373134328357</v>
      </c>
      <c r="G19" s="56"/>
      <c r="H19" s="93" t="str">
        <f t="shared" si="4"/>
        <v>EPD</v>
      </c>
      <c r="I19" s="61">
        <f t="shared" si="5"/>
        <v>24.12</v>
      </c>
      <c r="J19" s="327">
        <v>3.65</v>
      </c>
      <c r="K19" s="63"/>
      <c r="L19" s="71">
        <f t="shared" si="6"/>
        <v>6.6082191780821926</v>
      </c>
      <c r="M19" s="56">
        <f t="shared" si="7"/>
        <v>0.1513266998341625</v>
      </c>
      <c r="N19" s="12"/>
    </row>
    <row r="20" spans="1:14" ht="15.75">
      <c r="A20" s="64" t="str">
        <f>+'S&amp;D'!A25</f>
        <v>Hess Midstream LP</v>
      </c>
      <c r="B20" s="93" t="str">
        <f>+'S&amp;D'!B25</f>
        <v>HESM</v>
      </c>
      <c r="C20" s="61">
        <f>+'S&amp;D'!G25</f>
        <v>29.92</v>
      </c>
      <c r="D20" s="63">
        <v>1.1000000000000001</v>
      </c>
      <c r="E20" s="71">
        <f t="shared" si="2"/>
        <v>27.2</v>
      </c>
      <c r="F20" s="56">
        <f t="shared" si="3"/>
        <v>3.6764705882352942E-2</v>
      </c>
      <c r="G20" s="56"/>
      <c r="H20" s="93" t="str">
        <f t="shared" si="4"/>
        <v>HESM</v>
      </c>
      <c r="I20" s="61">
        <f t="shared" si="5"/>
        <v>29.92</v>
      </c>
      <c r="J20" s="327">
        <v>1.4</v>
      </c>
      <c r="K20" s="63"/>
      <c r="L20" s="71">
        <f t="shared" si="6"/>
        <v>21.371428571428574</v>
      </c>
      <c r="M20" s="56">
        <f t="shared" si="7"/>
        <v>4.6791443850267372E-2</v>
      </c>
      <c r="N20" s="12"/>
    </row>
    <row r="21" spans="1:14" ht="15.75">
      <c r="A21" s="64" t="str">
        <f>+'S&amp;D'!A26</f>
        <v>Holly Energy Partners LP</v>
      </c>
      <c r="B21" s="93" t="str">
        <f>+'S&amp;D'!B26</f>
        <v>HEP</v>
      </c>
      <c r="C21" s="61">
        <f>+'S&amp;D'!G26</f>
        <v>18.12</v>
      </c>
      <c r="D21" s="63">
        <v>2.5</v>
      </c>
      <c r="E21" s="71">
        <f t="shared" si="2"/>
        <v>7.2480000000000002</v>
      </c>
      <c r="F21" s="56">
        <f t="shared" si="3"/>
        <v>0.13796909492273729</v>
      </c>
      <c r="G21" s="56"/>
      <c r="H21" s="93" t="str">
        <f t="shared" si="4"/>
        <v>HEP</v>
      </c>
      <c r="I21" s="61">
        <f t="shared" si="5"/>
        <v>18.12</v>
      </c>
      <c r="J21" s="327">
        <v>3.1</v>
      </c>
      <c r="K21" s="63"/>
      <c r="L21" s="71">
        <f t="shared" si="6"/>
        <v>5.8451612903225811</v>
      </c>
      <c r="M21" s="56">
        <f t="shared" si="7"/>
        <v>0.17108167770419425</v>
      </c>
      <c r="N21" s="12"/>
    </row>
    <row r="22" spans="1:14" ht="15.75">
      <c r="A22" s="64" t="str">
        <f>+'S&amp;D'!A27</f>
        <v>Magellan Midstream Partners LP</v>
      </c>
      <c r="B22" s="93" t="str">
        <f>+'S&amp;D'!B27</f>
        <v>MMP</v>
      </c>
      <c r="C22" s="61">
        <f>+'S&amp;D'!G27</f>
        <v>50.21</v>
      </c>
      <c r="D22" s="63">
        <v>5.5</v>
      </c>
      <c r="E22" s="71">
        <f t="shared" si="2"/>
        <v>9.1290909090909089</v>
      </c>
      <c r="F22" s="56">
        <f t="shared" si="3"/>
        <v>0.10953993228440551</v>
      </c>
      <c r="G22" s="56"/>
      <c r="H22" s="93" t="str">
        <f t="shared" si="4"/>
        <v>MMP</v>
      </c>
      <c r="I22" s="61">
        <f t="shared" si="5"/>
        <v>50.21</v>
      </c>
      <c r="J22" s="327">
        <v>6.2</v>
      </c>
      <c r="K22" s="63"/>
      <c r="L22" s="71">
        <f t="shared" si="6"/>
        <v>8.0983870967741929</v>
      </c>
      <c r="M22" s="56">
        <f t="shared" si="7"/>
        <v>0.12348137821151166</v>
      </c>
      <c r="N22" s="12"/>
    </row>
    <row r="23" spans="1:14" ht="15.75">
      <c r="A23" s="64" t="str">
        <f>+'S&amp;D'!A28</f>
        <v>MPLX, LP</v>
      </c>
      <c r="B23" s="93" t="str">
        <f>+'S&amp;D'!B28</f>
        <v>MPLX</v>
      </c>
      <c r="C23" s="61">
        <f>+'S&amp;D'!G28</f>
        <v>32.840000000000003</v>
      </c>
      <c r="D23" s="63">
        <v>5.05</v>
      </c>
      <c r="E23" s="71">
        <f t="shared" ref="E23:E26" si="8">C23/D23</f>
        <v>6.5029702970297043</v>
      </c>
      <c r="F23" s="56">
        <f t="shared" si="0"/>
        <v>0.15377588306942749</v>
      </c>
      <c r="G23" s="56"/>
      <c r="H23" s="93" t="str">
        <f t="shared" ref="H23:H26" si="9">+B23</f>
        <v>MPLX</v>
      </c>
      <c r="I23" s="61">
        <f t="shared" ref="I23:I26" si="10">+C23</f>
        <v>32.840000000000003</v>
      </c>
      <c r="J23" s="327">
        <v>6.25</v>
      </c>
      <c r="K23" s="63"/>
      <c r="L23" s="71">
        <f t="shared" ref="L23:L26" si="11">I23/J23</f>
        <v>5.2544000000000004</v>
      </c>
      <c r="M23" s="56">
        <f t="shared" si="1"/>
        <v>0.19031668696711326</v>
      </c>
      <c r="N23" s="12"/>
    </row>
    <row r="24" spans="1:14" ht="15.75">
      <c r="A24" s="64" t="str">
        <f>+'S&amp;D'!A29</f>
        <v>NuStar Energy LP</v>
      </c>
      <c r="B24" s="93" t="str">
        <f>+'S&amp;D'!B29</f>
        <v>NS</v>
      </c>
      <c r="C24" s="61">
        <f>+'S&amp;D'!G29</f>
        <v>16</v>
      </c>
      <c r="D24" s="63">
        <v>4.2</v>
      </c>
      <c r="E24" s="71">
        <f t="shared" si="8"/>
        <v>3.8095238095238093</v>
      </c>
      <c r="F24" s="56">
        <f t="shared" si="0"/>
        <v>0.26250000000000001</v>
      </c>
      <c r="G24" s="56"/>
      <c r="H24" s="93" t="str">
        <f t="shared" si="9"/>
        <v>NS</v>
      </c>
      <c r="I24" s="61">
        <f t="shared" si="10"/>
        <v>16</v>
      </c>
      <c r="J24" s="327">
        <v>5.5</v>
      </c>
      <c r="K24" s="63"/>
      <c r="L24" s="71">
        <f t="shared" si="11"/>
        <v>2.9090909090909092</v>
      </c>
      <c r="M24" s="56">
        <f t="shared" si="1"/>
        <v>0.34375</v>
      </c>
      <c r="N24" s="12"/>
    </row>
    <row r="25" spans="1:14" ht="15.75">
      <c r="A25" s="64" t="str">
        <f>+'S&amp;D'!A30</f>
        <v>Plains All American Pipeline LP</v>
      </c>
      <c r="B25" s="93" t="str">
        <f>+'S&amp;D'!B30</f>
        <v>PAA</v>
      </c>
      <c r="C25" s="61">
        <f>+'S&amp;D'!G30</f>
        <v>11.76</v>
      </c>
      <c r="D25" s="63">
        <v>2.9</v>
      </c>
      <c r="E25" s="71">
        <f t="shared" si="8"/>
        <v>4.0551724137931036</v>
      </c>
      <c r="F25" s="56">
        <f t="shared" si="0"/>
        <v>0.24659863945578231</v>
      </c>
      <c r="G25" s="56"/>
      <c r="H25" s="93" t="str">
        <f t="shared" si="9"/>
        <v>PAA</v>
      </c>
      <c r="I25" s="61">
        <f t="shared" si="10"/>
        <v>11.76</v>
      </c>
      <c r="J25" s="327">
        <v>2.85</v>
      </c>
      <c r="K25" s="63"/>
      <c r="L25" s="71">
        <f t="shared" si="11"/>
        <v>4.1263157894736837</v>
      </c>
      <c r="M25" s="56">
        <f t="shared" si="1"/>
        <v>0.24234693877551022</v>
      </c>
      <c r="N25" s="12"/>
    </row>
    <row r="26" spans="1:14" ht="15.75">
      <c r="A26" s="64" t="str">
        <f>+'S&amp;D'!A31</f>
        <v>Western Midstream Partners LP</v>
      </c>
      <c r="B26" s="93" t="str">
        <f>+'S&amp;D'!B31</f>
        <v>WES</v>
      </c>
      <c r="C26" s="61">
        <f>+'S&amp;D'!G31</f>
        <v>26.85</v>
      </c>
      <c r="D26" s="63">
        <v>4.45</v>
      </c>
      <c r="E26" s="71">
        <f t="shared" si="8"/>
        <v>6.0337078651685392</v>
      </c>
      <c r="F26" s="56">
        <f t="shared" si="0"/>
        <v>0.16573556797020483</v>
      </c>
      <c r="G26" s="56"/>
      <c r="H26" s="93" t="str">
        <f t="shared" si="9"/>
        <v>WES</v>
      </c>
      <c r="I26" s="61">
        <f t="shared" si="10"/>
        <v>26.85</v>
      </c>
      <c r="J26" s="327">
        <v>4.9000000000000004</v>
      </c>
      <c r="K26" s="63"/>
      <c r="L26" s="71">
        <f t="shared" si="11"/>
        <v>5.4795918367346941</v>
      </c>
      <c r="M26" s="56">
        <f t="shared" si="1"/>
        <v>0.18249534450651769</v>
      </c>
      <c r="N26" s="12"/>
    </row>
    <row r="27" spans="1:14" ht="15.75" thickBot="1">
      <c r="A27" s="12"/>
      <c r="B27" s="72"/>
      <c r="C27" s="72"/>
      <c r="D27" s="72"/>
      <c r="E27" s="72"/>
      <c r="F27" s="72"/>
      <c r="G27" s="12"/>
      <c r="H27" s="72"/>
      <c r="I27" s="72"/>
      <c r="J27" s="328" t="s">
        <v>0</v>
      </c>
      <c r="K27" s="72"/>
      <c r="L27" s="72"/>
      <c r="M27" s="72"/>
      <c r="N27" s="12"/>
    </row>
    <row r="28" spans="1:14" ht="15.75" thickTop="1">
      <c r="A28" s="12"/>
      <c r="B28" s="14" t="s">
        <v>46</v>
      </c>
      <c r="C28" s="73">
        <v>50.21</v>
      </c>
      <c r="D28" s="73">
        <v>6.2</v>
      </c>
      <c r="E28" s="73">
        <v>27.2</v>
      </c>
      <c r="F28" s="344">
        <v>0.26250000000000001</v>
      </c>
      <c r="H28" s="14" t="s">
        <v>46</v>
      </c>
      <c r="I28" s="73">
        <v>50.21</v>
      </c>
      <c r="J28" s="73">
        <v>6.45</v>
      </c>
      <c r="K28" s="73"/>
      <c r="L28" s="73">
        <v>21.37</v>
      </c>
      <c r="M28" s="344">
        <v>0.34379999999999999</v>
      </c>
      <c r="N28" s="12"/>
    </row>
    <row r="29" spans="1:14">
      <c r="A29" s="12"/>
      <c r="B29" s="383" t="s">
        <v>47</v>
      </c>
      <c r="C29" s="388">
        <v>11.76</v>
      </c>
      <c r="D29" s="388">
        <v>1.1000000000000001</v>
      </c>
      <c r="E29" s="388">
        <v>3.81</v>
      </c>
      <c r="F29" s="380">
        <v>3.6799999999999999E-2</v>
      </c>
      <c r="H29" s="383" t="s">
        <v>47</v>
      </c>
      <c r="I29" s="388">
        <v>11.76</v>
      </c>
      <c r="J29" s="388">
        <v>1.4</v>
      </c>
      <c r="K29" s="388"/>
      <c r="L29" s="388">
        <v>2.91</v>
      </c>
      <c r="M29" s="380">
        <v>4.6800000000000001E-2</v>
      </c>
      <c r="N29" s="12"/>
    </row>
    <row r="30" spans="1:14">
      <c r="A30" s="12"/>
      <c r="B30" s="14" t="s">
        <v>18</v>
      </c>
      <c r="C30" s="74">
        <f>MEDIAN(C17:C26)</f>
        <v>25.484999999999999</v>
      </c>
      <c r="D30" s="75">
        <f>MEDIAN(D17:D26)</f>
        <v>3.9000000000000004</v>
      </c>
      <c r="E30" s="21">
        <f>MEDIAN(E17:E26)</f>
        <v>6.3797109549664643</v>
      </c>
      <c r="F30" s="56">
        <f>MEDIAN(F17:F26)</f>
        <v>0.15680544604618579</v>
      </c>
      <c r="G30" s="56"/>
      <c r="H30" s="14" t="s">
        <v>18</v>
      </c>
      <c r="I30" s="74">
        <f>MEDIAN(I17:I26)</f>
        <v>25.484999999999999</v>
      </c>
      <c r="J30" s="75">
        <f>MEDIAN(J17:J26)</f>
        <v>4.2750000000000004</v>
      </c>
      <c r="K30" s="75"/>
      <c r="L30" s="21">
        <f>MEDIAN(L17:L26)</f>
        <v>5.6623765635286372</v>
      </c>
      <c r="M30" s="56">
        <f>MEDIAN(M17:M26)</f>
        <v>0.17678851110535598</v>
      </c>
      <c r="N30" s="12"/>
    </row>
    <row r="31" spans="1:14">
      <c r="A31" s="12"/>
      <c r="B31" s="14" t="s">
        <v>473</v>
      </c>
      <c r="C31" s="21">
        <f>AVERAGE(C17:C26)</f>
        <v>26.048000000000002</v>
      </c>
      <c r="D31" s="17">
        <f>AVERAGE(D17:D26)</f>
        <v>3.8300000000000005</v>
      </c>
      <c r="E31" s="21">
        <f>AVERAGE(E17:E26)</f>
        <v>8.1174202621795004</v>
      </c>
      <c r="F31" s="76">
        <f>AVERAGE(F17:F26)</f>
        <v>0.16578613592333621</v>
      </c>
      <c r="G31" s="76"/>
      <c r="H31" s="14" t="s">
        <v>473</v>
      </c>
      <c r="I31" s="17">
        <f>AVERAGE(I17:I26)</f>
        <v>26.048000000000002</v>
      </c>
      <c r="J31" s="17">
        <f>AVERAGE(J17:J26)</f>
        <v>4.335</v>
      </c>
      <c r="K31" s="17"/>
      <c r="L31" s="21">
        <f>AVERAGE(L17:L26)</f>
        <v>6.9598351438967443</v>
      </c>
      <c r="M31" s="76">
        <f>AVERAGE(M17:M26)</f>
        <v>0.18748204337744628</v>
      </c>
      <c r="N31" s="12"/>
    </row>
    <row r="32" spans="1:14">
      <c r="A32" s="12"/>
      <c r="B32" s="12"/>
      <c r="C32" s="12"/>
      <c r="D32" s="12"/>
      <c r="E32" s="12"/>
      <c r="F32" s="12"/>
      <c r="G32" s="12"/>
      <c r="H32" s="12"/>
      <c r="I32" s="12"/>
      <c r="J32" s="12"/>
      <c r="K32" s="12"/>
      <c r="L32" s="12"/>
      <c r="M32" s="12"/>
      <c r="N32" s="12"/>
    </row>
    <row r="33" spans="1:14" ht="20.25">
      <c r="A33" s="12"/>
      <c r="B33" s="12"/>
      <c r="C33" s="12"/>
      <c r="D33" s="80" t="s">
        <v>75</v>
      </c>
      <c r="E33" s="345">
        <v>8.1199999999999992</v>
      </c>
      <c r="F33" s="346">
        <v>0.1658</v>
      </c>
      <c r="G33" s="295"/>
      <c r="H33" s="12"/>
      <c r="I33" s="12"/>
      <c r="J33" s="80" t="s">
        <v>75</v>
      </c>
      <c r="K33" s="49"/>
      <c r="L33" s="347">
        <v>6.96</v>
      </c>
      <c r="M33" s="346">
        <v>0.1875</v>
      </c>
      <c r="N33" s="12"/>
    </row>
    <row r="34" spans="1:14" ht="30" customHeight="1" thickBot="1">
      <c r="A34" s="12"/>
      <c r="B34" s="12"/>
      <c r="C34" s="12"/>
      <c r="D34" s="12"/>
      <c r="E34" s="12"/>
      <c r="G34" s="77"/>
      <c r="H34" s="12"/>
      <c r="I34" s="12"/>
      <c r="J34" s="12"/>
      <c r="K34" s="12"/>
      <c r="L34" s="12"/>
      <c r="M34" s="12"/>
      <c r="N34" s="12"/>
    </row>
    <row r="35" spans="1:14" ht="21" thickBot="1">
      <c r="A35" s="78" t="s">
        <v>0</v>
      </c>
      <c r="B35" s="12"/>
      <c r="C35" s="12"/>
      <c r="D35" s="12"/>
      <c r="E35" s="23" t="s">
        <v>127</v>
      </c>
      <c r="F35" s="23"/>
      <c r="G35" s="237">
        <f>(+E33+L33)/2</f>
        <v>7.5399999999999991</v>
      </c>
      <c r="H35" s="238">
        <f>(+F33+M33)/2</f>
        <v>0.17665</v>
      </c>
      <c r="K35" s="12"/>
      <c r="N35" s="12"/>
    </row>
    <row r="36" spans="1:14" ht="16.5">
      <c r="A36" s="78" t="s">
        <v>0</v>
      </c>
      <c r="B36" s="12"/>
      <c r="C36" s="12"/>
      <c r="D36" s="12"/>
      <c r="E36" s="12"/>
      <c r="F36" s="12"/>
      <c r="G36" s="12"/>
      <c r="H36" s="12"/>
      <c r="I36" s="12"/>
      <c r="J36" s="12"/>
      <c r="K36" s="12"/>
      <c r="L36" s="12"/>
      <c r="M36" s="12"/>
      <c r="N36" s="12"/>
    </row>
    <row r="37" spans="1:14">
      <c r="A37" s="12"/>
      <c r="B37" s="12"/>
      <c r="C37" s="12"/>
      <c r="D37" s="12"/>
      <c r="E37" s="12"/>
      <c r="F37" s="12"/>
      <c r="G37" s="12"/>
      <c r="H37" s="12"/>
      <c r="I37" s="12"/>
      <c r="J37" s="12"/>
      <c r="K37" s="12"/>
      <c r="L37" s="12"/>
      <c r="M37" s="12"/>
      <c r="N37" s="12"/>
    </row>
    <row r="38" spans="1:14">
      <c r="A38" s="12"/>
      <c r="B38" s="12"/>
      <c r="C38" s="12"/>
      <c r="D38" s="12"/>
      <c r="E38" s="12"/>
      <c r="F38" s="12"/>
      <c r="G38" s="12"/>
      <c r="H38" s="12"/>
      <c r="I38" s="12"/>
      <c r="J38" s="12"/>
      <c r="K38" s="12"/>
      <c r="L38" s="12"/>
      <c r="M38" s="12"/>
      <c r="N38" s="12"/>
    </row>
    <row r="39" spans="1:14" ht="15.75">
      <c r="A39" s="110" t="s">
        <v>369</v>
      </c>
    </row>
    <row r="40" spans="1:14" ht="15.75">
      <c r="A40" s="110" t="s">
        <v>370</v>
      </c>
    </row>
    <row r="41" spans="1:14" ht="15.75">
      <c r="A41" s="110" t="s">
        <v>371</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65"/>
  <sheetViews>
    <sheetView view="pageBreakPreview" zoomScale="60" zoomScaleNormal="80" workbookViewId="0">
      <selection activeCell="A34" sqref="A34"/>
    </sheetView>
  </sheetViews>
  <sheetFormatPr defaultRowHeight="15"/>
  <cols>
    <col min="1" max="1" width="53.85546875" customWidth="1"/>
    <col min="2" max="2" width="8"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3" t="s">
        <v>1</v>
      </c>
      <c r="B1" s="23"/>
      <c r="C1" s="12"/>
      <c r="D1" s="12"/>
      <c r="E1" s="12"/>
      <c r="F1" s="12"/>
      <c r="G1" s="12"/>
      <c r="H1" s="12"/>
      <c r="I1" s="12"/>
      <c r="J1" s="12"/>
      <c r="K1" s="12"/>
      <c r="L1" s="12"/>
      <c r="M1" s="12"/>
      <c r="N1" s="12"/>
      <c r="O1" s="12"/>
    </row>
    <row r="2" spans="1:15" ht="15.75">
      <c r="A2" s="64" t="s">
        <v>9</v>
      </c>
      <c r="B2" s="64"/>
      <c r="C2" s="12"/>
      <c r="D2" s="12"/>
      <c r="E2" s="12"/>
      <c r="F2" s="12"/>
      <c r="G2" s="12"/>
      <c r="H2" s="12"/>
      <c r="I2" s="12"/>
      <c r="J2" s="12"/>
      <c r="K2" s="12"/>
      <c r="L2" s="12"/>
      <c r="M2" s="12"/>
      <c r="N2" s="12"/>
      <c r="O2" s="12"/>
    </row>
    <row r="3" spans="1:15">
      <c r="A3" s="25" t="s">
        <v>63</v>
      </c>
      <c r="B3" s="43"/>
      <c r="C3" s="12"/>
      <c r="D3" s="12"/>
      <c r="E3" s="12"/>
      <c r="F3" s="12"/>
      <c r="G3" s="12"/>
      <c r="H3" s="12"/>
      <c r="I3" s="12"/>
      <c r="J3" s="12"/>
      <c r="K3" s="12"/>
      <c r="L3" s="12"/>
      <c r="M3" s="12"/>
      <c r="N3" s="12"/>
      <c r="O3" s="12"/>
    </row>
    <row r="4" spans="1:15">
      <c r="A4" s="12"/>
      <c r="B4" s="12"/>
      <c r="C4" s="12"/>
      <c r="D4" s="12"/>
      <c r="E4" s="26" t="s">
        <v>0</v>
      </c>
      <c r="F4" s="12"/>
      <c r="G4" s="12"/>
      <c r="H4" s="12"/>
      <c r="I4" s="12"/>
      <c r="J4" s="12"/>
      <c r="K4" s="12"/>
      <c r="L4" s="12"/>
      <c r="M4" s="12"/>
      <c r="N4" s="12"/>
      <c r="O4" s="12"/>
    </row>
    <row r="5" spans="1:15" ht="16.5" thickBot="1">
      <c r="A5" s="64"/>
      <c r="B5" s="64"/>
      <c r="C5" s="12"/>
      <c r="D5" s="12"/>
      <c r="E5" s="12"/>
      <c r="F5" s="12"/>
      <c r="G5" s="12"/>
      <c r="H5" s="12"/>
      <c r="I5" s="12"/>
      <c r="J5" s="12"/>
      <c r="K5" s="12"/>
      <c r="L5" s="12"/>
      <c r="M5" s="12"/>
      <c r="N5" s="12"/>
      <c r="O5" s="12"/>
    </row>
    <row r="6" spans="1:15" ht="18.75" thickBot="1">
      <c r="A6" s="285" t="str">
        <f>+'S&amp;D'!A12</f>
        <v>Liquid Transportation Pipeline Carriers</v>
      </c>
      <c r="B6" s="288"/>
      <c r="C6" s="12"/>
      <c r="D6" s="12"/>
      <c r="E6" s="12"/>
      <c r="F6" s="12"/>
      <c r="G6" s="12"/>
      <c r="H6" s="12"/>
      <c r="I6" s="12"/>
      <c r="J6" s="12"/>
      <c r="K6" s="12"/>
      <c r="L6" s="12"/>
      <c r="M6" s="12"/>
      <c r="N6" s="12"/>
      <c r="O6" s="12"/>
    </row>
    <row r="7" spans="1:15" ht="16.5" thickBot="1">
      <c r="A7" s="64"/>
      <c r="B7" s="64"/>
      <c r="C7" s="28"/>
      <c r="D7" s="28"/>
      <c r="E7" s="28"/>
      <c r="F7" s="28"/>
      <c r="G7" s="28"/>
      <c r="H7" s="12"/>
      <c r="I7" s="28"/>
      <c r="J7" s="28"/>
      <c r="K7" s="28"/>
      <c r="L7" s="28"/>
      <c r="M7" s="28"/>
      <c r="N7" s="12"/>
      <c r="O7" s="12"/>
    </row>
    <row r="8" spans="1:15" ht="20.25">
      <c r="B8" s="30"/>
      <c r="C8" s="12"/>
      <c r="D8" s="12"/>
      <c r="E8" s="31" t="s">
        <v>238</v>
      </c>
      <c r="F8" s="12"/>
      <c r="G8" s="12"/>
      <c r="H8" s="12"/>
      <c r="I8" s="12"/>
      <c r="J8" s="12"/>
      <c r="K8" s="31" t="s">
        <v>239</v>
      </c>
      <c r="L8" s="12"/>
      <c r="M8" s="12"/>
      <c r="N8" s="12"/>
      <c r="O8" s="12"/>
    </row>
    <row r="9" spans="1:15" ht="18.75" thickBot="1">
      <c r="A9" s="30"/>
      <c r="B9" s="30"/>
      <c r="C9" s="28"/>
      <c r="D9" s="28"/>
      <c r="E9" s="36" t="s">
        <v>77</v>
      </c>
      <c r="F9" s="28"/>
      <c r="G9" s="28"/>
      <c r="H9" s="12"/>
      <c r="I9" s="28"/>
      <c r="J9" s="28"/>
      <c r="K9" s="36" t="s">
        <v>77</v>
      </c>
      <c r="L9" s="28"/>
      <c r="M9" s="28"/>
      <c r="N9" s="12"/>
      <c r="O9" s="12"/>
    </row>
    <row r="10" spans="1:15" ht="15.75" thickBot="1">
      <c r="A10" s="33" t="s">
        <v>0</v>
      </c>
      <c r="B10" s="33"/>
      <c r="C10" s="33" t="s">
        <v>0</v>
      </c>
      <c r="D10" s="33" t="s">
        <v>0</v>
      </c>
      <c r="E10" s="33" t="s">
        <v>0</v>
      </c>
      <c r="F10" s="33" t="s">
        <v>0</v>
      </c>
      <c r="G10" s="33" t="s">
        <v>0</v>
      </c>
      <c r="H10" s="12"/>
      <c r="I10" s="28"/>
      <c r="J10" s="28"/>
      <c r="K10" s="28"/>
      <c r="L10" s="28"/>
      <c r="M10" s="28"/>
      <c r="N10" s="12"/>
      <c r="O10" s="12"/>
    </row>
    <row r="11" spans="1:15">
      <c r="A11" s="34" t="s">
        <v>0</v>
      </c>
      <c r="B11" s="34"/>
      <c r="C11" s="34" t="s">
        <v>3</v>
      </c>
      <c r="D11" s="34" t="s">
        <v>363</v>
      </c>
      <c r="E11" s="34" t="s">
        <v>365</v>
      </c>
      <c r="F11" s="34" t="s">
        <v>114</v>
      </c>
      <c r="G11" s="34" t="s">
        <v>27</v>
      </c>
      <c r="H11" s="12"/>
      <c r="I11" s="34" t="s">
        <v>3</v>
      </c>
      <c r="J11" s="34" t="s">
        <v>363</v>
      </c>
      <c r="K11" s="34" t="s">
        <v>365</v>
      </c>
      <c r="L11" s="34" t="s">
        <v>114</v>
      </c>
      <c r="M11" s="34" t="s">
        <v>27</v>
      </c>
      <c r="N11" s="12"/>
      <c r="O11" s="12"/>
    </row>
    <row r="12" spans="1:15" ht="15.75" thickBot="1">
      <c r="A12" s="36" t="s">
        <v>2</v>
      </c>
      <c r="B12" s="36"/>
      <c r="C12" s="36" t="s">
        <v>4</v>
      </c>
      <c r="D12" s="36" t="s">
        <v>28</v>
      </c>
      <c r="E12" s="36" t="s">
        <v>172</v>
      </c>
      <c r="F12" s="36" t="s">
        <v>29</v>
      </c>
      <c r="G12" s="36" t="s">
        <v>30</v>
      </c>
      <c r="H12" s="12"/>
      <c r="I12" s="36" t="s">
        <v>4</v>
      </c>
      <c r="J12" s="36" t="s">
        <v>28</v>
      </c>
      <c r="K12" s="36" t="s">
        <v>172</v>
      </c>
      <c r="L12" s="36" t="s">
        <v>29</v>
      </c>
      <c r="M12" s="36" t="s">
        <v>30</v>
      </c>
      <c r="N12" s="12"/>
      <c r="O12" s="12"/>
    </row>
    <row r="13" spans="1:15">
      <c r="A13" s="38" t="s">
        <v>0</v>
      </c>
      <c r="B13" s="38"/>
      <c r="C13" s="38" t="s">
        <v>0</v>
      </c>
      <c r="D13" s="39" t="s">
        <v>116</v>
      </c>
      <c r="E13" s="79" t="s">
        <v>117</v>
      </c>
      <c r="F13" s="38" t="s">
        <v>0</v>
      </c>
      <c r="G13" s="38" t="s">
        <v>0</v>
      </c>
      <c r="H13" s="12"/>
      <c r="I13" s="38" t="s">
        <v>0</v>
      </c>
      <c r="J13" s="39" t="s">
        <v>116</v>
      </c>
      <c r="K13" s="79" t="s">
        <v>115</v>
      </c>
      <c r="L13" s="38" t="s">
        <v>0</v>
      </c>
      <c r="M13" s="38" t="s">
        <v>0</v>
      </c>
      <c r="N13" s="12"/>
      <c r="O13" s="12"/>
    </row>
    <row r="14" spans="1:15">
      <c r="A14" s="34"/>
      <c r="B14" s="34"/>
      <c r="C14" s="34"/>
      <c r="D14" s="34"/>
      <c r="E14" s="34"/>
      <c r="F14" s="34"/>
      <c r="G14" s="34"/>
      <c r="H14" s="12"/>
      <c r="I14" s="34"/>
      <c r="J14" s="34"/>
      <c r="K14" s="34"/>
      <c r="L14" s="34"/>
      <c r="M14" s="34"/>
      <c r="N14" s="12"/>
      <c r="O14" s="12"/>
    </row>
    <row r="15" spans="1:15">
      <c r="A15" s="12"/>
      <c r="B15" s="12"/>
      <c r="C15" s="12"/>
      <c r="D15" s="12"/>
      <c r="E15" s="12"/>
      <c r="F15" s="12"/>
      <c r="G15" s="12"/>
      <c r="H15" s="12"/>
      <c r="I15" s="12"/>
      <c r="J15" s="12"/>
      <c r="K15" s="12"/>
      <c r="L15" s="12"/>
      <c r="M15" s="12"/>
      <c r="N15" s="12"/>
      <c r="O15" s="12"/>
    </row>
    <row r="16" spans="1:15" ht="15.75">
      <c r="A16" s="64" t="str">
        <f>+'S&amp;D'!A22</f>
        <v>DCP Midstream LP</v>
      </c>
      <c r="B16" s="64"/>
      <c r="C16" s="93" t="str">
        <f>+'S&amp;D'!B22</f>
        <v>DCP</v>
      </c>
      <c r="D16" s="61">
        <f>'S&amp;D'!G22</f>
        <v>38.79</v>
      </c>
      <c r="E16" s="63">
        <f>+Earnings!E16</f>
        <v>4.71</v>
      </c>
      <c r="F16" s="71">
        <f>D16/E16</f>
        <v>8.2356687898089174</v>
      </c>
      <c r="G16" s="56">
        <f t="shared" ref="G16:G25" si="0">1/F16</f>
        <v>0.1214230471771075</v>
      </c>
      <c r="H16" s="12"/>
      <c r="I16" s="34" t="str">
        <f>+C16</f>
        <v>DCP</v>
      </c>
      <c r="J16" s="61">
        <f>+D16</f>
        <v>38.79</v>
      </c>
      <c r="K16" s="63">
        <f>+Earnings!G16</f>
        <v>4.25</v>
      </c>
      <c r="L16" s="71">
        <f>J16/K16</f>
        <v>9.1270588235294117</v>
      </c>
      <c r="M16" s="56">
        <f t="shared" ref="M16:M25" si="1">1/L16</f>
        <v>0.10956432070121165</v>
      </c>
      <c r="N16" s="12"/>
      <c r="O16" s="12"/>
    </row>
    <row r="17" spans="1:15" ht="15.75">
      <c r="A17" s="64" t="str">
        <f>+'S&amp;D'!A23</f>
        <v>Energy Transfer LP</v>
      </c>
      <c r="B17" s="64"/>
      <c r="C17" s="93" t="str">
        <f>+'S&amp;D'!B23</f>
        <v>ET</v>
      </c>
      <c r="D17" s="61">
        <f>'S&amp;D'!G23</f>
        <v>11.87</v>
      </c>
      <c r="E17" s="63">
        <f>+Earnings!E17</f>
        <v>1.45</v>
      </c>
      <c r="F17" s="71">
        <f t="shared" ref="F17:F21" si="2">D17/E17</f>
        <v>8.1862068965517238</v>
      </c>
      <c r="G17" s="56">
        <f t="shared" ref="G17:G21" si="3">1/F17</f>
        <v>0.12215669755686605</v>
      </c>
      <c r="H17" s="12"/>
      <c r="I17" s="34" t="str">
        <f t="shared" ref="I17:I21" si="4">+C17</f>
        <v>ET</v>
      </c>
      <c r="J17" s="61">
        <f t="shared" ref="J17:J21" si="5">+D17</f>
        <v>11.87</v>
      </c>
      <c r="K17" s="63">
        <f>+Earnings!G17</f>
        <v>1.6</v>
      </c>
      <c r="L17" s="71">
        <f t="shared" ref="L17:L21" si="6">J17/K17</f>
        <v>7.4187499999999993</v>
      </c>
      <c r="M17" s="56">
        <f t="shared" ref="M17:M21" si="7">1/L17</f>
        <v>0.13479359730412807</v>
      </c>
      <c r="N17" s="12"/>
      <c r="O17" s="12"/>
    </row>
    <row r="18" spans="1:15" ht="15.75">
      <c r="A18" s="64" t="str">
        <f>+'S&amp;D'!A24</f>
        <v>Enterprise Products Partnership LP</v>
      </c>
      <c r="B18" s="64"/>
      <c r="C18" s="93" t="str">
        <f>+'S&amp;D'!B24</f>
        <v>EPD</v>
      </c>
      <c r="D18" s="61">
        <f>'S&amp;D'!G24</f>
        <v>24.12</v>
      </c>
      <c r="E18" s="63">
        <f>+Earnings!E18</f>
        <v>2.5</v>
      </c>
      <c r="F18" s="71">
        <f t="shared" si="2"/>
        <v>9.6479999999999997</v>
      </c>
      <c r="G18" s="56">
        <f t="shared" si="3"/>
        <v>0.10364842454394693</v>
      </c>
      <c r="H18" s="12"/>
      <c r="I18" s="34" t="str">
        <f t="shared" si="4"/>
        <v>EPD</v>
      </c>
      <c r="J18" s="61">
        <f t="shared" si="5"/>
        <v>24.12</v>
      </c>
      <c r="K18" s="63">
        <f>+Earnings!G18</f>
        <v>2.6</v>
      </c>
      <c r="L18" s="71">
        <f t="shared" si="6"/>
        <v>9.2769230769230777</v>
      </c>
      <c r="M18" s="56">
        <f t="shared" si="7"/>
        <v>0.1077943615257048</v>
      </c>
      <c r="N18" s="12"/>
      <c r="O18" s="12"/>
    </row>
    <row r="19" spans="1:15" ht="15.75">
      <c r="A19" s="64" t="str">
        <f>+'S&amp;D'!A25</f>
        <v>Hess Midstream LP</v>
      </c>
      <c r="B19" s="64"/>
      <c r="C19" s="93" t="str">
        <f>+'S&amp;D'!B25</f>
        <v>HESM</v>
      </c>
      <c r="D19" s="61">
        <f>'S&amp;D'!G25</f>
        <v>29.92</v>
      </c>
      <c r="E19" s="63">
        <f>+Earnings!E19</f>
        <v>2.0099999999999998</v>
      </c>
      <c r="F19" s="71">
        <f t="shared" si="2"/>
        <v>14.885572139303486</v>
      </c>
      <c r="G19" s="56">
        <f t="shared" si="3"/>
        <v>6.7179144385026729E-2</v>
      </c>
      <c r="H19" s="12"/>
      <c r="I19" s="34" t="str">
        <f t="shared" si="4"/>
        <v>HESM</v>
      </c>
      <c r="J19" s="61">
        <f t="shared" si="5"/>
        <v>29.92</v>
      </c>
      <c r="K19" s="63">
        <f>+Earnings!G19</f>
        <v>2.2999999999999998</v>
      </c>
      <c r="L19" s="71">
        <f t="shared" si="6"/>
        <v>13.008695652173914</v>
      </c>
      <c r="M19" s="56">
        <f t="shared" si="7"/>
        <v>7.6871657754010683E-2</v>
      </c>
      <c r="N19" s="12"/>
      <c r="O19" s="12"/>
    </row>
    <row r="20" spans="1:15" ht="15.75">
      <c r="A20" s="64" t="str">
        <f>+'S&amp;D'!A26</f>
        <v>Holly Energy Partners LP</v>
      </c>
      <c r="B20" s="64"/>
      <c r="C20" s="93" t="str">
        <f>+'S&amp;D'!B26</f>
        <v>HEP</v>
      </c>
      <c r="D20" s="61">
        <f>'S&amp;D'!G26</f>
        <v>18.12</v>
      </c>
      <c r="E20" s="63">
        <f>+Earnings!E20</f>
        <v>1.7</v>
      </c>
      <c r="F20" s="71">
        <f t="shared" si="2"/>
        <v>10.658823529411766</v>
      </c>
      <c r="G20" s="56">
        <f t="shared" si="3"/>
        <v>9.3818984547461362E-2</v>
      </c>
      <c r="H20" s="12"/>
      <c r="I20" s="34" t="str">
        <f t="shared" si="4"/>
        <v>HEP</v>
      </c>
      <c r="J20" s="61">
        <f t="shared" si="5"/>
        <v>18.12</v>
      </c>
      <c r="K20" s="63">
        <f>+Earnings!G20</f>
        <v>2.15</v>
      </c>
      <c r="L20" s="71">
        <f t="shared" si="6"/>
        <v>8.4279069767441861</v>
      </c>
      <c r="M20" s="56">
        <f t="shared" si="7"/>
        <v>0.11865342163355408</v>
      </c>
      <c r="N20" s="12"/>
      <c r="O20" s="12"/>
    </row>
    <row r="21" spans="1:15" ht="15.75">
      <c r="A21" s="64" t="str">
        <f>+'S&amp;D'!A27</f>
        <v>Magellan Midstream Partners LP</v>
      </c>
      <c r="B21" s="64"/>
      <c r="C21" s="93" t="str">
        <f>+'S&amp;D'!B27</f>
        <v>MMP</v>
      </c>
      <c r="D21" s="61">
        <f>'S&amp;D'!G27</f>
        <v>50.21</v>
      </c>
      <c r="E21" s="63">
        <f>+Earnings!E21</f>
        <v>4.0999999999999996</v>
      </c>
      <c r="F21" s="71">
        <f t="shared" si="2"/>
        <v>12.246341463414636</v>
      </c>
      <c r="G21" s="56">
        <f t="shared" si="3"/>
        <v>8.1657040430193173E-2</v>
      </c>
      <c r="H21" s="12"/>
      <c r="I21" s="34" t="str">
        <f t="shared" si="4"/>
        <v>MMP</v>
      </c>
      <c r="J21" s="61">
        <f t="shared" si="5"/>
        <v>50.21</v>
      </c>
      <c r="K21" s="63">
        <f>+Earnings!G21</f>
        <v>4.8</v>
      </c>
      <c r="L21" s="71">
        <f t="shared" si="6"/>
        <v>10.460416666666667</v>
      </c>
      <c r="M21" s="56">
        <f t="shared" si="7"/>
        <v>9.5598486357299339E-2</v>
      </c>
      <c r="N21" s="12"/>
      <c r="O21" s="12"/>
    </row>
    <row r="22" spans="1:15" ht="15.75">
      <c r="A22" s="64" t="str">
        <f>+'S&amp;D'!A28</f>
        <v>MPLX, LP</v>
      </c>
      <c r="B22" s="64"/>
      <c r="C22" s="93" t="str">
        <f>+'S&amp;D'!B28</f>
        <v>MPLX</v>
      </c>
      <c r="D22" s="61">
        <f>'S&amp;D'!G28</f>
        <v>32.840000000000003</v>
      </c>
      <c r="E22" s="63">
        <f>+Earnings!E22</f>
        <v>3.75</v>
      </c>
      <c r="F22" s="71">
        <f t="shared" ref="F22:F25" si="8">D22/E22</f>
        <v>8.7573333333333334</v>
      </c>
      <c r="G22" s="56">
        <f t="shared" si="0"/>
        <v>0.11419001218026796</v>
      </c>
      <c r="H22" s="12"/>
      <c r="I22" s="34" t="str">
        <f t="shared" ref="I22:I25" si="9">+C22</f>
        <v>MPLX</v>
      </c>
      <c r="J22" s="61">
        <f t="shared" ref="J22:J25" si="10">+D22</f>
        <v>32.840000000000003</v>
      </c>
      <c r="K22" s="63">
        <f>+Earnings!G22</f>
        <v>4.8499999999999996</v>
      </c>
      <c r="L22" s="71">
        <f t="shared" ref="L22:L25" si="11">J22/K22</f>
        <v>6.7711340206185575</v>
      </c>
      <c r="M22" s="56">
        <f t="shared" si="1"/>
        <v>0.14768574908647988</v>
      </c>
      <c r="N22" s="12"/>
      <c r="O22" s="12"/>
    </row>
    <row r="23" spans="1:15" ht="15.75">
      <c r="A23" s="64" t="str">
        <f>+'S&amp;D'!A29</f>
        <v>NuStar Energy LP</v>
      </c>
      <c r="B23" s="64"/>
      <c r="C23" s="93" t="str">
        <f>+'S&amp;D'!B29</f>
        <v>NS</v>
      </c>
      <c r="D23" s="61">
        <f>'S&amp;D'!G29</f>
        <v>16</v>
      </c>
      <c r="E23" s="63">
        <f>+Earnings!E23</f>
        <v>0.36</v>
      </c>
      <c r="F23" s="71">
        <f t="shared" si="8"/>
        <v>44.444444444444443</v>
      </c>
      <c r="G23" s="56">
        <f t="shared" si="0"/>
        <v>2.2499999999999999E-2</v>
      </c>
      <c r="H23" s="12"/>
      <c r="I23" s="34" t="str">
        <f t="shared" si="9"/>
        <v>NS</v>
      </c>
      <c r="J23" s="61">
        <f t="shared" si="10"/>
        <v>16</v>
      </c>
      <c r="K23" s="63">
        <f>+Earnings!G23</f>
        <v>1.2</v>
      </c>
      <c r="L23" s="71">
        <f t="shared" si="11"/>
        <v>13.333333333333334</v>
      </c>
      <c r="M23" s="56">
        <f t="shared" si="1"/>
        <v>7.4999999999999997E-2</v>
      </c>
      <c r="N23" s="12"/>
      <c r="O23" s="12"/>
    </row>
    <row r="24" spans="1:15" ht="15.75">
      <c r="A24" s="64" t="str">
        <f>+'S&amp;D'!A30</f>
        <v>Plains All American Pipeline LP</v>
      </c>
      <c r="B24" s="64"/>
      <c r="C24" s="93" t="str">
        <f>+'S&amp;D'!B30</f>
        <v>PAA</v>
      </c>
      <c r="D24" s="61">
        <f>'S&amp;D'!G30</f>
        <v>11.76</v>
      </c>
      <c r="E24" s="63">
        <f>+Earnings!E24</f>
        <v>1.19</v>
      </c>
      <c r="F24" s="71">
        <f t="shared" si="8"/>
        <v>9.882352941176471</v>
      </c>
      <c r="G24" s="56">
        <f t="shared" si="0"/>
        <v>0.10119047619047619</v>
      </c>
      <c r="H24" s="12"/>
      <c r="I24" s="34" t="str">
        <f t="shared" si="9"/>
        <v>PAA</v>
      </c>
      <c r="J24" s="61">
        <f t="shared" si="10"/>
        <v>11.76</v>
      </c>
      <c r="K24" s="63">
        <f>+Earnings!G24</f>
        <v>1.4</v>
      </c>
      <c r="L24" s="71">
        <f t="shared" si="11"/>
        <v>8.4</v>
      </c>
      <c r="M24" s="56">
        <f t="shared" si="1"/>
        <v>0.11904761904761904</v>
      </c>
      <c r="N24" s="12"/>
      <c r="O24" s="12"/>
    </row>
    <row r="25" spans="1:15" ht="15.75">
      <c r="A25" s="64" t="str">
        <f>+'S&amp;D'!A31</f>
        <v>Western Midstream Partners LP</v>
      </c>
      <c r="B25" s="64"/>
      <c r="C25" s="93" t="str">
        <f>+'S&amp;D'!B31</f>
        <v>WES</v>
      </c>
      <c r="D25" s="61">
        <f>'S&amp;D'!G31</f>
        <v>26.85</v>
      </c>
      <c r="E25" s="63">
        <f>+Earnings!E25</f>
        <v>2.9</v>
      </c>
      <c r="F25" s="71">
        <f t="shared" si="8"/>
        <v>9.2586206896551726</v>
      </c>
      <c r="G25" s="56">
        <f t="shared" si="0"/>
        <v>0.10800744878957169</v>
      </c>
      <c r="H25" s="12"/>
      <c r="I25" s="34" t="str">
        <f t="shared" si="9"/>
        <v>WES</v>
      </c>
      <c r="J25" s="61">
        <f t="shared" si="10"/>
        <v>26.85</v>
      </c>
      <c r="K25" s="63">
        <f>+Earnings!G25</f>
        <v>3.2</v>
      </c>
      <c r="L25" s="71">
        <f t="shared" si="11"/>
        <v>8.390625</v>
      </c>
      <c r="M25" s="56">
        <f t="shared" si="1"/>
        <v>0.11918063314711359</v>
      </c>
      <c r="N25" s="12"/>
      <c r="O25" s="12"/>
    </row>
    <row r="26" spans="1:15" ht="16.5" thickBot="1">
      <c r="A26" s="12"/>
      <c r="B26" s="12"/>
      <c r="C26" s="72"/>
      <c r="D26" s="72"/>
      <c r="E26" s="72"/>
      <c r="F26" s="72"/>
      <c r="G26" s="72"/>
      <c r="H26" s="12"/>
      <c r="I26" s="72"/>
      <c r="J26" s="66" t="s">
        <v>0</v>
      </c>
      <c r="K26" s="72"/>
      <c r="L26" s="72"/>
      <c r="M26" s="72"/>
      <c r="N26" s="12"/>
      <c r="O26" s="12"/>
    </row>
    <row r="27" spans="1:15" ht="15.75" thickTop="1">
      <c r="A27" s="12"/>
      <c r="B27" s="12"/>
      <c r="C27" s="14" t="s">
        <v>46</v>
      </c>
      <c r="D27" s="73">
        <v>50.21</v>
      </c>
      <c r="E27" s="73">
        <v>4.71</v>
      </c>
      <c r="F27" s="73">
        <v>44.44</v>
      </c>
      <c r="G27" s="344">
        <v>0.1222</v>
      </c>
      <c r="H27" s="12"/>
      <c r="I27" s="14" t="s">
        <v>46</v>
      </c>
      <c r="J27" s="73">
        <v>50.21</v>
      </c>
      <c r="K27" s="73">
        <v>4.8499999999999996</v>
      </c>
      <c r="L27" s="73">
        <v>13.33</v>
      </c>
      <c r="M27" s="344">
        <v>0.1477</v>
      </c>
      <c r="N27" s="12"/>
      <c r="O27" s="12"/>
    </row>
    <row r="28" spans="1:15">
      <c r="A28" s="12"/>
      <c r="B28" s="12"/>
      <c r="C28" s="383" t="s">
        <v>47</v>
      </c>
      <c r="D28" s="388">
        <v>11.76</v>
      </c>
      <c r="E28" s="388">
        <v>0.36</v>
      </c>
      <c r="F28" s="388">
        <v>8.19</v>
      </c>
      <c r="G28" s="380">
        <v>2.2499999999999999E-2</v>
      </c>
      <c r="H28" s="12"/>
      <c r="I28" s="383" t="s">
        <v>47</v>
      </c>
      <c r="J28" s="388">
        <v>11.76</v>
      </c>
      <c r="K28" s="388">
        <v>1.2</v>
      </c>
      <c r="L28" s="388">
        <v>6.77</v>
      </c>
      <c r="M28" s="380">
        <v>7.4999999999999997E-2</v>
      </c>
      <c r="N28" s="12"/>
      <c r="O28" s="12"/>
    </row>
    <row r="29" spans="1:15">
      <c r="A29" s="12"/>
      <c r="B29" s="12"/>
      <c r="C29" s="14" t="s">
        <v>18</v>
      </c>
      <c r="D29" s="74">
        <f>MEDIAN(D16:D25)</f>
        <v>25.484999999999999</v>
      </c>
      <c r="E29" s="75">
        <f>MEDIAN(E16:E25)</f>
        <v>2.2549999999999999</v>
      </c>
      <c r="F29" s="21">
        <f>MEDIAN(F16:F25)</f>
        <v>9.7651764705882353</v>
      </c>
      <c r="G29" s="56">
        <f>MEDIAN(G16:G25)</f>
        <v>0.10241945036721156</v>
      </c>
      <c r="H29" s="12"/>
      <c r="I29" s="14" t="s">
        <v>18</v>
      </c>
      <c r="J29" s="74">
        <f>MEDIAN(J16:J25)</f>
        <v>25.484999999999999</v>
      </c>
      <c r="K29" s="75">
        <f>MEDIAN(K16:K25)</f>
        <v>2.4500000000000002</v>
      </c>
      <c r="L29" s="21">
        <f>MEDIAN(L16:L25)</f>
        <v>8.7774829001367998</v>
      </c>
      <c r="M29" s="56">
        <f>MEDIAN(M16:M25)</f>
        <v>0.11410887116738286</v>
      </c>
      <c r="N29" s="12"/>
      <c r="O29" s="12"/>
    </row>
    <row r="30" spans="1:15">
      <c r="A30" s="12"/>
      <c r="B30" s="12"/>
      <c r="C30" s="14" t="s">
        <v>473</v>
      </c>
      <c r="D30" s="21">
        <f>AVERAGE(D16:D25)</f>
        <v>26.048000000000002</v>
      </c>
      <c r="E30" s="17">
        <f>AVERAGE(E16:E25)</f>
        <v>2.4669999999999996</v>
      </c>
      <c r="F30" s="21">
        <f>AVERAGE(F16:F25)</f>
        <v>13.620336422709997</v>
      </c>
      <c r="G30" s="76">
        <f>AVERAGE(G16:G25)</f>
        <v>9.3577127580091748E-2</v>
      </c>
      <c r="H30" s="12"/>
      <c r="I30" s="14" t="s">
        <v>473</v>
      </c>
      <c r="J30" s="21">
        <f>AVERAGE(J16:J25)</f>
        <v>26.048000000000002</v>
      </c>
      <c r="K30" s="17">
        <f>AVERAGE(K16:K25)</f>
        <v>2.8349999999999995</v>
      </c>
      <c r="L30" s="21">
        <f>AVERAGE(L16:L25)</f>
        <v>9.4614843549989143</v>
      </c>
      <c r="M30" s="76">
        <f>AVERAGE(M16:M25)</f>
        <v>0.11041898465571212</v>
      </c>
      <c r="N30" s="12"/>
      <c r="O30" s="12"/>
    </row>
    <row r="31" spans="1:15">
      <c r="A31" s="12"/>
      <c r="B31" s="12"/>
      <c r="C31" s="12"/>
      <c r="D31" s="12"/>
      <c r="E31" s="12"/>
      <c r="F31" s="12"/>
      <c r="G31" s="12"/>
      <c r="H31" s="12"/>
      <c r="I31" s="12"/>
      <c r="J31" s="12"/>
      <c r="K31" s="12"/>
      <c r="L31" s="12"/>
      <c r="M31" s="12"/>
      <c r="N31" s="12"/>
      <c r="O31" s="12"/>
    </row>
    <row r="32" spans="1:15" ht="20.25">
      <c r="A32" s="12"/>
      <c r="B32" s="12"/>
      <c r="C32" s="12"/>
      <c r="D32" s="12"/>
      <c r="E32" s="80" t="s">
        <v>75</v>
      </c>
      <c r="F32" s="348">
        <v>13.62</v>
      </c>
      <c r="G32" s="346">
        <v>9.3600000000000003E-2</v>
      </c>
      <c r="H32" s="12"/>
      <c r="I32" s="12"/>
      <c r="J32" s="12"/>
      <c r="K32" s="80" t="s">
        <v>75</v>
      </c>
      <c r="L32" s="349">
        <v>9.4600000000000009</v>
      </c>
      <c r="M32" s="346">
        <v>0.1104</v>
      </c>
      <c r="N32" s="12"/>
      <c r="O32" s="12"/>
    </row>
    <row r="33" spans="1:15">
      <c r="A33" s="12"/>
      <c r="B33" s="12"/>
      <c r="C33" s="12"/>
      <c r="D33" s="12"/>
      <c r="E33" s="12"/>
      <c r="F33" s="12"/>
      <c r="K33" s="12"/>
      <c r="L33" s="12"/>
      <c r="M33" s="12"/>
      <c r="N33" s="12"/>
      <c r="O33" s="12"/>
    </row>
    <row r="34" spans="1:15" ht="30" customHeight="1">
      <c r="A34" s="12"/>
      <c r="B34" s="12"/>
      <c r="C34" s="12"/>
      <c r="D34" s="12"/>
      <c r="E34" s="12"/>
      <c r="F34" s="12"/>
      <c r="K34" s="12"/>
      <c r="L34" s="12"/>
      <c r="M34" s="12"/>
      <c r="N34" s="12"/>
      <c r="O34" s="12"/>
    </row>
    <row r="35" spans="1:15" ht="15.75" thickBot="1">
      <c r="A35" s="12"/>
      <c r="B35" s="12"/>
      <c r="C35" s="12"/>
      <c r="D35" s="12"/>
      <c r="E35" s="12"/>
      <c r="F35" s="12"/>
      <c r="K35" s="12"/>
      <c r="L35" s="12"/>
      <c r="M35" s="12"/>
      <c r="N35" s="12"/>
      <c r="O35" s="12"/>
    </row>
    <row r="36" spans="1:15" ht="30.75" customHeight="1" thickBot="1">
      <c r="A36" s="78" t="s">
        <v>0</v>
      </c>
      <c r="B36" s="78"/>
      <c r="C36" s="12"/>
      <c r="D36" s="12"/>
      <c r="E36" s="12"/>
      <c r="G36" s="23" t="s">
        <v>127</v>
      </c>
      <c r="H36" s="12"/>
      <c r="I36" s="239">
        <f>(+F32+L32)/2</f>
        <v>11.54</v>
      </c>
      <c r="J36" s="240">
        <f>(+G32+M32)/2</f>
        <v>0.10200000000000001</v>
      </c>
      <c r="N36" s="12"/>
      <c r="O36" s="12"/>
    </row>
    <row r="37" spans="1:15" ht="16.5">
      <c r="A37" s="78" t="s">
        <v>0</v>
      </c>
      <c r="B37" s="78"/>
      <c r="C37" s="12"/>
      <c r="D37" s="12"/>
      <c r="E37" s="12"/>
      <c r="F37" s="12"/>
      <c r="G37" s="12"/>
      <c r="H37" s="12"/>
      <c r="I37" s="12"/>
      <c r="J37" s="12"/>
      <c r="K37" s="12"/>
      <c r="L37" s="12"/>
      <c r="M37" s="12"/>
      <c r="N37" s="12"/>
      <c r="O37" s="12"/>
    </row>
    <row r="38" spans="1:15">
      <c r="A38" s="12"/>
      <c r="B38" s="12"/>
      <c r="C38" s="12"/>
      <c r="D38" s="12"/>
      <c r="E38" s="12"/>
      <c r="F38" s="12"/>
      <c r="G38" s="12"/>
      <c r="H38" s="12"/>
      <c r="I38" s="12"/>
      <c r="J38" s="12"/>
      <c r="K38" s="12"/>
      <c r="L38" s="12"/>
      <c r="M38" s="12"/>
      <c r="N38" s="12"/>
      <c r="O38" s="12"/>
    </row>
    <row r="39" spans="1:15">
      <c r="A39" s="12"/>
      <c r="B39" s="12"/>
      <c r="C39" s="12"/>
      <c r="D39" s="12"/>
      <c r="E39" s="12"/>
      <c r="F39" s="12"/>
      <c r="G39" s="12"/>
      <c r="H39" s="12"/>
      <c r="I39" s="12"/>
      <c r="J39" s="12"/>
      <c r="K39" s="12"/>
      <c r="L39" s="12"/>
      <c r="M39" s="12"/>
      <c r="N39" s="12"/>
      <c r="O39" s="12"/>
    </row>
    <row r="40" spans="1:15" ht="15.75" thickBot="1">
      <c r="B40" s="162"/>
      <c r="C40" s="162"/>
      <c r="D40" s="162"/>
      <c r="E40" s="162"/>
      <c r="F40" s="162"/>
      <c r="G40" s="162"/>
    </row>
    <row r="41" spans="1:15" ht="20.25">
      <c r="C41" s="12"/>
      <c r="D41" s="12"/>
      <c r="E41" s="31" t="s">
        <v>245</v>
      </c>
      <c r="F41" s="12"/>
      <c r="G41" s="12"/>
    </row>
    <row r="42" spans="1:15" ht="18.75" thickBot="1">
      <c r="A42" s="30"/>
      <c r="B42" s="162"/>
      <c r="C42" s="28"/>
      <c r="D42" s="28"/>
      <c r="E42" s="36" t="s">
        <v>77</v>
      </c>
      <c r="F42" s="28"/>
      <c r="G42" s="28"/>
    </row>
    <row r="43" spans="1:15" ht="15.75" thickBot="1">
      <c r="A43" s="33" t="s">
        <v>0</v>
      </c>
      <c r="B43" s="162"/>
      <c r="C43" s="33" t="s">
        <v>0</v>
      </c>
      <c r="D43" s="33" t="s">
        <v>0</v>
      </c>
      <c r="E43" s="33" t="s">
        <v>0</v>
      </c>
      <c r="F43" s="33" t="s">
        <v>0</v>
      </c>
      <c r="G43" s="33" t="s">
        <v>0</v>
      </c>
    </row>
    <row r="44" spans="1:15">
      <c r="A44" s="34" t="s">
        <v>0</v>
      </c>
      <c r="C44" s="34" t="s">
        <v>3</v>
      </c>
      <c r="D44" s="34" t="s">
        <v>363</v>
      </c>
      <c r="E44" s="34" t="s">
        <v>365</v>
      </c>
      <c r="F44" s="34" t="s">
        <v>114</v>
      </c>
      <c r="G44" s="34" t="s">
        <v>27</v>
      </c>
    </row>
    <row r="45" spans="1:15" ht="15.75" thickBot="1">
      <c r="A45" s="36" t="s">
        <v>2</v>
      </c>
      <c r="B45" s="162"/>
      <c r="C45" s="36" t="s">
        <v>4</v>
      </c>
      <c r="D45" s="36" t="s">
        <v>28</v>
      </c>
      <c r="E45" s="36" t="s">
        <v>172</v>
      </c>
      <c r="F45" s="36" t="s">
        <v>29</v>
      </c>
      <c r="G45" s="36" t="s">
        <v>30</v>
      </c>
    </row>
    <row r="46" spans="1:15">
      <c r="A46" s="38" t="s">
        <v>0</v>
      </c>
      <c r="C46" s="38" t="s">
        <v>0</v>
      </c>
      <c r="D46" s="39" t="s">
        <v>116</v>
      </c>
      <c r="E46" s="79" t="s">
        <v>246</v>
      </c>
      <c r="F46" s="38" t="s">
        <v>0</v>
      </c>
      <c r="G46" s="38" t="s">
        <v>0</v>
      </c>
    </row>
    <row r="47" spans="1:15">
      <c r="A47" s="34"/>
      <c r="C47" s="34"/>
      <c r="D47" s="34"/>
      <c r="E47" s="34"/>
      <c r="F47" s="34"/>
      <c r="G47" s="34"/>
    </row>
    <row r="48" spans="1:15">
      <c r="A48" s="12"/>
      <c r="C48" s="12"/>
      <c r="D48" s="12"/>
      <c r="E48" s="12"/>
      <c r="F48" s="12"/>
      <c r="G48" s="12"/>
    </row>
    <row r="49" spans="1:7" ht="15.75">
      <c r="A49" s="64" t="str">
        <f>+'S&amp;D'!A22</f>
        <v>DCP Midstream LP</v>
      </c>
      <c r="C49" s="93" t="str">
        <f>+'S&amp;D'!B22</f>
        <v>DCP</v>
      </c>
      <c r="D49" s="61">
        <f>'S&amp;D'!G22</f>
        <v>38.79</v>
      </c>
      <c r="E49" s="63">
        <f>+Earnings!I16</f>
        <v>3.75</v>
      </c>
      <c r="F49" s="71">
        <f t="shared" ref="F49:F58" si="12">D49/E49</f>
        <v>10.343999999999999</v>
      </c>
      <c r="G49" s="56">
        <f t="shared" ref="G49:G58" si="13">1/F49</f>
        <v>9.6674400618716169E-2</v>
      </c>
    </row>
    <row r="50" spans="1:7" ht="15.75">
      <c r="A50" s="64" t="str">
        <f>+'S&amp;D'!A23</f>
        <v>Energy Transfer LP</v>
      </c>
      <c r="C50" s="93" t="str">
        <f>+'S&amp;D'!B23</f>
        <v>ET</v>
      </c>
      <c r="D50" s="61">
        <f>'S&amp;D'!G23</f>
        <v>11.87</v>
      </c>
      <c r="E50" s="63">
        <f>+Earnings!I17</f>
        <v>2.35</v>
      </c>
      <c r="F50" s="71">
        <f t="shared" si="12"/>
        <v>5.0510638297872337</v>
      </c>
      <c r="G50" s="56">
        <f t="shared" si="13"/>
        <v>0.19797809604043809</v>
      </c>
    </row>
    <row r="51" spans="1:7" ht="15.75">
      <c r="A51" s="64" t="str">
        <f>+'S&amp;D'!A24</f>
        <v>Enterprise Products Partnership LP</v>
      </c>
      <c r="C51" s="93" t="str">
        <f>+'S&amp;D'!B24</f>
        <v>EPD</v>
      </c>
      <c r="D51" s="61">
        <f>'S&amp;D'!G24</f>
        <v>24.12</v>
      </c>
      <c r="E51" s="63">
        <f>+Earnings!I18</f>
        <v>3.15</v>
      </c>
      <c r="F51" s="71">
        <f t="shared" si="12"/>
        <v>7.6571428571428575</v>
      </c>
      <c r="G51" s="56">
        <f t="shared" si="13"/>
        <v>0.13059701492537312</v>
      </c>
    </row>
    <row r="52" spans="1:7" ht="15.75">
      <c r="A52" s="64" t="str">
        <f>+'S&amp;D'!A25</f>
        <v>Hess Midstream LP</v>
      </c>
      <c r="C52" s="93" t="str">
        <f>+'S&amp;D'!B25</f>
        <v>HESM</v>
      </c>
      <c r="D52" s="61">
        <f>'S&amp;D'!G25</f>
        <v>29.92</v>
      </c>
      <c r="E52" s="63">
        <f>+Earnings!I19</f>
        <v>3.3</v>
      </c>
      <c r="F52" s="71">
        <f t="shared" si="12"/>
        <v>9.0666666666666682</v>
      </c>
      <c r="G52" s="56">
        <f t="shared" si="13"/>
        <v>0.11029411764705881</v>
      </c>
    </row>
    <row r="53" spans="1:7" ht="15.75">
      <c r="A53" s="64" t="str">
        <f>+'S&amp;D'!A26</f>
        <v>Holly Energy Partners LP</v>
      </c>
      <c r="C53" s="93" t="str">
        <f>+'S&amp;D'!B26</f>
        <v>HEP</v>
      </c>
      <c r="D53" s="61">
        <f>'S&amp;D'!G26</f>
        <v>18.12</v>
      </c>
      <c r="E53" s="63">
        <f>+Earnings!I20</f>
        <v>2.9</v>
      </c>
      <c r="F53" s="71">
        <f t="shared" si="12"/>
        <v>6.248275862068966</v>
      </c>
      <c r="G53" s="56">
        <f t="shared" si="13"/>
        <v>0.16004415011037526</v>
      </c>
    </row>
    <row r="54" spans="1:7" ht="15.75">
      <c r="A54" s="64" t="str">
        <f>+'S&amp;D'!A27</f>
        <v>Magellan Midstream Partners LP</v>
      </c>
      <c r="C54" s="93" t="str">
        <f>+'S&amp;D'!B27</f>
        <v>MMP</v>
      </c>
      <c r="D54" s="61">
        <f>'S&amp;D'!G27</f>
        <v>50.21</v>
      </c>
      <c r="E54" s="63">
        <f>+Earnings!I21</f>
        <v>6.45</v>
      </c>
      <c r="F54" s="71">
        <f t="shared" si="12"/>
        <v>7.7844961240310075</v>
      </c>
      <c r="G54" s="56">
        <f t="shared" si="13"/>
        <v>0.12846046604262099</v>
      </c>
    </row>
    <row r="55" spans="1:7" ht="15.75">
      <c r="A55" s="64" t="str">
        <f>+'S&amp;D'!A28</f>
        <v>MPLX, LP</v>
      </c>
      <c r="C55" s="93" t="str">
        <f>+'S&amp;D'!B28</f>
        <v>MPLX</v>
      </c>
      <c r="D55" s="61">
        <f>'S&amp;D'!G28</f>
        <v>32.840000000000003</v>
      </c>
      <c r="E55" s="63">
        <f>+Earnings!I22</f>
        <v>4.0999999999999996</v>
      </c>
      <c r="F55" s="71">
        <f t="shared" si="12"/>
        <v>8.0097560975609774</v>
      </c>
      <c r="G55" s="56">
        <f t="shared" si="13"/>
        <v>0.12484774665042628</v>
      </c>
    </row>
    <row r="56" spans="1:7" ht="15.75">
      <c r="A56" s="64" t="str">
        <f>+'S&amp;D'!A29</f>
        <v>NuStar Energy LP</v>
      </c>
      <c r="C56" s="93" t="str">
        <f>+'S&amp;D'!B29</f>
        <v>NS</v>
      </c>
      <c r="D56" s="61">
        <f>'S&amp;D'!G29</f>
        <v>16</v>
      </c>
      <c r="E56" s="63">
        <f>+Earnings!I23</f>
        <v>2.25</v>
      </c>
      <c r="F56" s="71">
        <f t="shared" si="12"/>
        <v>7.1111111111111107</v>
      </c>
      <c r="G56" s="56">
        <f t="shared" si="13"/>
        <v>0.140625</v>
      </c>
    </row>
    <row r="57" spans="1:7" ht="15.75">
      <c r="A57" s="64" t="str">
        <f>+'S&amp;D'!A30</f>
        <v>Plains All American Pipeline LP</v>
      </c>
      <c r="C57" s="93" t="str">
        <f>+'S&amp;D'!B30</f>
        <v>PAA</v>
      </c>
      <c r="D57" s="61">
        <f>'S&amp;D'!G30</f>
        <v>11.76</v>
      </c>
      <c r="E57" s="63">
        <f>+Earnings!I24</f>
        <v>2.8</v>
      </c>
      <c r="F57" s="71">
        <f t="shared" si="12"/>
        <v>4.2</v>
      </c>
      <c r="G57" s="56">
        <f t="shared" si="13"/>
        <v>0.23809523809523808</v>
      </c>
    </row>
    <row r="58" spans="1:7" ht="15.75">
      <c r="A58" s="64" t="str">
        <f>+'S&amp;D'!A31</f>
        <v>Western Midstream Partners LP</v>
      </c>
      <c r="C58" s="93" t="str">
        <f>+'S&amp;D'!B31</f>
        <v>WES</v>
      </c>
      <c r="D58" s="61">
        <f>'S&amp;D'!G31</f>
        <v>26.85</v>
      </c>
      <c r="E58" s="63">
        <f>+Earnings!I25</f>
        <v>4</v>
      </c>
      <c r="F58" s="71">
        <f t="shared" si="12"/>
        <v>6.7125000000000004</v>
      </c>
      <c r="G58" s="56">
        <f t="shared" si="13"/>
        <v>0.14897579143389197</v>
      </c>
    </row>
    <row r="59" spans="1:7" ht="15.75" thickBot="1">
      <c r="A59" s="12"/>
      <c r="D59" s="72"/>
      <c r="E59" s="72"/>
      <c r="F59" s="72"/>
      <c r="G59" s="72"/>
    </row>
    <row r="60" spans="1:7" ht="15.75" thickTop="1">
      <c r="A60" s="12"/>
      <c r="D60" s="14" t="s">
        <v>46</v>
      </c>
      <c r="E60" s="73">
        <v>6.45</v>
      </c>
      <c r="F60" s="73">
        <v>10.34</v>
      </c>
      <c r="G60" s="344">
        <v>0.23810000000000001</v>
      </c>
    </row>
    <row r="61" spans="1:7">
      <c r="A61" s="12"/>
      <c r="D61" s="14" t="s">
        <v>47</v>
      </c>
      <c r="E61" s="388">
        <v>2.25</v>
      </c>
      <c r="F61" s="388">
        <v>4.2</v>
      </c>
      <c r="G61" s="380">
        <v>9.6699999999999994E-2</v>
      </c>
    </row>
    <row r="62" spans="1:7">
      <c r="A62" s="12"/>
      <c r="D62" s="14" t="s">
        <v>18</v>
      </c>
      <c r="E62" s="75">
        <f>MEDIAN(E49:E58)</f>
        <v>3.2249999999999996</v>
      </c>
      <c r="F62" s="21">
        <f>MEDIAN(F49:F58)</f>
        <v>7.3841269841269845</v>
      </c>
      <c r="G62" s="56">
        <f>MEDIAN(G49:G58)</f>
        <v>0.13561100746268656</v>
      </c>
    </row>
    <row r="63" spans="1:7">
      <c r="A63" s="12"/>
      <c r="D63" s="14" t="s">
        <v>473</v>
      </c>
      <c r="E63" s="17">
        <f>AVERAGE(E49:E58)</f>
        <v>3.5049999999999999</v>
      </c>
      <c r="F63" s="21">
        <f>AVERAGE(F49:F58)</f>
        <v>7.218501254836883</v>
      </c>
      <c r="G63" s="76">
        <f>AVERAGE(G49:G58)</f>
        <v>0.14765920215641387</v>
      </c>
    </row>
    <row r="64" spans="1:7">
      <c r="A64" s="12"/>
      <c r="C64" s="12"/>
      <c r="D64" s="12"/>
      <c r="E64" s="12"/>
      <c r="F64" s="12"/>
      <c r="G64" s="12"/>
    </row>
    <row r="65" spans="1:7" ht="20.25">
      <c r="A65" s="12"/>
      <c r="C65" s="12"/>
      <c r="D65" s="12"/>
      <c r="E65" s="80" t="s">
        <v>75</v>
      </c>
      <c r="F65" s="349">
        <v>7.22</v>
      </c>
      <c r="G65" s="346">
        <v>0.1477</v>
      </c>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17"/>
  <sheetViews>
    <sheetView view="pageBreakPreview" topLeftCell="A3" zoomScale="60" zoomScaleNormal="80" workbookViewId="0">
      <selection activeCell="F29" sqref="F29"/>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3" t="s">
        <v>1</v>
      </c>
      <c r="C1" s="23"/>
      <c r="D1" s="23"/>
      <c r="E1" s="12"/>
      <c r="F1" s="12"/>
      <c r="G1" s="12"/>
      <c r="H1" s="12"/>
      <c r="I1" s="12"/>
      <c r="J1" s="12"/>
      <c r="K1" s="12"/>
    </row>
    <row r="2" spans="1:11" ht="15.75">
      <c r="A2" s="24" t="s">
        <v>9</v>
      </c>
      <c r="C2" s="24"/>
      <c r="D2" s="24"/>
      <c r="E2" s="12"/>
      <c r="F2" s="12"/>
      <c r="G2" s="12"/>
      <c r="H2" s="12"/>
      <c r="I2" s="12"/>
      <c r="J2" s="12"/>
      <c r="K2" s="12"/>
    </row>
    <row r="3" spans="1:11">
      <c r="A3" s="25" t="s">
        <v>63</v>
      </c>
      <c r="C3" s="25"/>
      <c r="D3" s="25"/>
      <c r="E3" s="12"/>
      <c r="F3" s="12"/>
      <c r="G3" s="12"/>
      <c r="H3" s="12"/>
      <c r="I3" s="12"/>
      <c r="J3" s="12"/>
      <c r="K3" s="12"/>
    </row>
    <row r="4" spans="1:11">
      <c r="B4" s="25"/>
      <c r="C4" s="25"/>
      <c r="D4" s="25"/>
      <c r="E4" s="12"/>
      <c r="F4" s="12"/>
      <c r="G4" s="12"/>
      <c r="H4" s="12"/>
      <c r="I4" s="12"/>
      <c r="J4" s="12"/>
      <c r="K4" s="12"/>
    </row>
    <row r="5" spans="1:11">
      <c r="B5" s="12"/>
      <c r="C5" s="12"/>
      <c r="D5" s="12"/>
      <c r="E5" s="12"/>
      <c r="F5" s="12"/>
      <c r="G5" s="12"/>
      <c r="H5" s="12"/>
      <c r="I5" s="26" t="s">
        <v>0</v>
      </c>
      <c r="J5" s="26"/>
      <c r="K5" s="12"/>
    </row>
    <row r="6" spans="1:11" ht="15.75" thickBot="1">
      <c r="B6" s="12"/>
      <c r="C6" s="12"/>
      <c r="D6" s="28"/>
      <c r="E6" s="28"/>
      <c r="F6" s="162"/>
      <c r="H6" s="12"/>
      <c r="I6" s="12"/>
      <c r="J6" s="12"/>
      <c r="K6" s="12"/>
    </row>
    <row r="7" spans="1:11" ht="21" thickBot="1">
      <c r="A7" s="27" t="str">
        <f>+'S&amp;D'!A12</f>
        <v>Liquid Transportation Pipeline Carriers</v>
      </c>
      <c r="C7" s="30"/>
      <c r="D7" s="30"/>
      <c r="E7" s="31" t="s">
        <v>259</v>
      </c>
      <c r="H7" s="12"/>
      <c r="I7" s="12"/>
      <c r="J7" s="12"/>
      <c r="K7" s="12"/>
    </row>
    <row r="8" spans="1:11" ht="18.75" thickBot="1">
      <c r="B8" s="30"/>
      <c r="C8" s="30"/>
      <c r="D8" s="163"/>
      <c r="E8" s="36" t="s">
        <v>77</v>
      </c>
      <c r="F8" s="162"/>
      <c r="H8" s="12"/>
      <c r="I8" s="12"/>
      <c r="J8" s="12"/>
      <c r="K8" s="12"/>
    </row>
    <row r="9" spans="1:11" ht="18">
      <c r="B9" s="30"/>
      <c r="C9" s="30"/>
      <c r="D9" s="30"/>
      <c r="E9" s="34"/>
      <c r="H9" s="12"/>
      <c r="I9" s="12"/>
      <c r="J9" s="12"/>
      <c r="K9" s="12"/>
    </row>
    <row r="10" spans="1:11" ht="18.75" thickBot="1">
      <c r="A10" s="163"/>
      <c r="B10" s="30"/>
      <c r="I10" s="12"/>
      <c r="J10" s="12"/>
      <c r="K10" s="12"/>
    </row>
    <row r="11" spans="1:11" ht="22.5" customHeight="1" thickBot="1">
      <c r="A11" s="175" t="s">
        <v>253</v>
      </c>
      <c r="B11" s="30"/>
      <c r="I11" s="12"/>
      <c r="J11" s="12"/>
      <c r="K11" s="12"/>
    </row>
    <row r="12" spans="1:11" ht="26.25" customHeight="1" thickBot="1">
      <c r="A12" s="174" t="s">
        <v>0</v>
      </c>
      <c r="B12" s="12"/>
      <c r="C12" s="12"/>
      <c r="D12" s="12"/>
      <c r="E12" s="12"/>
      <c r="F12" s="12"/>
      <c r="G12" s="12"/>
      <c r="H12" s="12"/>
      <c r="I12" s="12"/>
      <c r="J12" s="12"/>
      <c r="K12" s="12"/>
    </row>
    <row r="13" spans="1:11" ht="66.75" customHeight="1" thickBot="1">
      <c r="A13" s="244" t="s">
        <v>279</v>
      </c>
      <c r="B13" s="169" t="s">
        <v>324</v>
      </c>
      <c r="C13" s="169" t="s">
        <v>289</v>
      </c>
      <c r="D13" s="169" t="s">
        <v>288</v>
      </c>
      <c r="I13" s="12"/>
      <c r="J13" s="12"/>
      <c r="K13" s="12"/>
    </row>
    <row r="14" spans="1:11">
      <c r="A14" s="164"/>
      <c r="B14" s="230"/>
      <c r="C14" s="230"/>
      <c r="D14" s="230"/>
      <c r="I14" s="12"/>
      <c r="J14" s="12"/>
      <c r="K14" s="12"/>
    </row>
    <row r="15" spans="1:11" ht="18">
      <c r="A15" s="173" t="str">
        <f>+A7</f>
        <v>Liquid Transportation Pipeline Carriers</v>
      </c>
      <c r="B15" s="256">
        <v>7.0000000000000007E-2</v>
      </c>
      <c r="C15" s="256">
        <f>+'Dividends '!K29</f>
        <v>0.13194631736187343</v>
      </c>
      <c r="D15" s="256">
        <f>+Earnings!K29</f>
        <v>0.10419664183982913</v>
      </c>
      <c r="I15" s="12"/>
      <c r="J15" s="12"/>
      <c r="K15" s="12"/>
    </row>
    <row r="16" spans="1:11" ht="18.75" thickBot="1">
      <c r="A16" s="166" t="s">
        <v>0</v>
      </c>
      <c r="B16" s="231" t="s">
        <v>0</v>
      </c>
      <c r="C16" s="283">
        <f>+'Dividends '!K30</f>
        <v>0.1526414340890806</v>
      </c>
      <c r="D16" s="283">
        <f>+Earnings!K30</f>
        <v>0.10139571720322962</v>
      </c>
      <c r="I16" s="12"/>
      <c r="J16" s="12"/>
      <c r="K16" s="12"/>
    </row>
    <row r="17" spans="1:11" ht="18">
      <c r="A17" s="242"/>
      <c r="B17" s="243"/>
      <c r="I17" s="12"/>
      <c r="J17" s="12"/>
      <c r="K17" s="12"/>
    </row>
    <row r="18" spans="1:11">
      <c r="A18" s="12"/>
      <c r="B18" s="12"/>
      <c r="C18" s="12"/>
      <c r="D18" s="12"/>
      <c r="E18" s="12"/>
      <c r="F18" s="12"/>
      <c r="G18" s="12"/>
      <c r="H18" s="12"/>
      <c r="I18" s="12"/>
      <c r="J18" s="12"/>
      <c r="K18" s="12"/>
    </row>
    <row r="19" spans="1:11" ht="15.75" thickBot="1">
      <c r="A19" s="12"/>
      <c r="B19" s="12"/>
      <c r="C19" s="12"/>
      <c r="D19" s="12"/>
      <c r="E19" s="12"/>
      <c r="F19" s="12"/>
      <c r="G19" s="12"/>
      <c r="H19" s="12"/>
      <c r="I19" s="12"/>
      <c r="J19" s="12"/>
      <c r="K19" s="12"/>
    </row>
    <row r="20" spans="1:11" ht="18.75" thickBot="1">
      <c r="A20" s="175" t="s">
        <v>278</v>
      </c>
      <c r="B20" s="30"/>
      <c r="I20" s="12"/>
      <c r="J20" s="12"/>
      <c r="K20" s="12"/>
    </row>
    <row r="21" spans="1:11" ht="16.5" thickBot="1">
      <c r="A21" s="174" t="s">
        <v>0</v>
      </c>
      <c r="B21" s="12"/>
      <c r="C21" s="12"/>
      <c r="D21" s="12"/>
      <c r="E21" s="12"/>
      <c r="F21" s="12"/>
      <c r="G21" s="12"/>
      <c r="H21" s="12"/>
      <c r="I21" s="12"/>
      <c r="J21" s="12"/>
      <c r="K21" s="12"/>
    </row>
    <row r="22" spans="1:11" ht="64.5" customHeight="1" thickBot="1">
      <c r="A22" s="244" t="s">
        <v>280</v>
      </c>
      <c r="B22" s="169" t="s">
        <v>323</v>
      </c>
      <c r="C22" s="168" t="s">
        <v>232</v>
      </c>
      <c r="D22" s="169" t="s">
        <v>233</v>
      </c>
      <c r="E22" s="169" t="s">
        <v>234</v>
      </c>
      <c r="F22" s="169" t="s">
        <v>324</v>
      </c>
      <c r="G22" s="284" t="s">
        <v>18</v>
      </c>
      <c r="H22" s="284" t="s">
        <v>19</v>
      </c>
      <c r="I22" s="12"/>
      <c r="J22" s="12"/>
      <c r="K22" s="12"/>
    </row>
    <row r="23" spans="1:11">
      <c r="A23" s="164"/>
      <c r="B23" s="230"/>
      <c r="C23" s="116"/>
      <c r="D23" s="230"/>
      <c r="E23" s="116"/>
      <c r="F23" s="230"/>
      <c r="G23" s="404"/>
      <c r="H23" s="177"/>
      <c r="I23" s="12"/>
      <c r="J23" s="12"/>
      <c r="K23" s="12"/>
    </row>
    <row r="24" spans="1:11" ht="18">
      <c r="A24" s="173" t="str">
        <f>+A7</f>
        <v>Liquid Transportation Pipeline Carriers</v>
      </c>
      <c r="B24" s="256">
        <v>8.5000000000000006E-2</v>
      </c>
      <c r="C24" s="402">
        <v>0.08</v>
      </c>
      <c r="D24" s="256">
        <v>4.4999999999999998E-2</v>
      </c>
      <c r="E24" s="402">
        <v>5.45E-2</v>
      </c>
      <c r="F24" s="256">
        <v>5.6000000000000001E-2</v>
      </c>
      <c r="G24" s="405">
        <f>MEDIAN(B24:F24)</f>
        <v>5.6000000000000001E-2</v>
      </c>
      <c r="H24" s="279">
        <f t="shared" ref="H24" si="0">AVERAGE(B24:F24)</f>
        <v>6.4100000000000004E-2</v>
      </c>
      <c r="I24" s="12"/>
      <c r="J24" s="12"/>
      <c r="K24" s="12"/>
    </row>
    <row r="25" spans="1:11" ht="18.75" thickBot="1">
      <c r="A25" s="398" t="s">
        <v>0</v>
      </c>
      <c r="B25" s="231" t="s">
        <v>0</v>
      </c>
      <c r="C25" s="403" t="s">
        <v>0</v>
      </c>
      <c r="D25" s="231" t="s">
        <v>0</v>
      </c>
      <c r="E25" s="403" t="s">
        <v>0</v>
      </c>
      <c r="F25" s="231" t="s">
        <v>0</v>
      </c>
      <c r="G25" s="356"/>
      <c r="H25" s="176"/>
      <c r="I25" s="12"/>
      <c r="J25" s="12"/>
      <c r="K25" s="12"/>
    </row>
    <row r="26" spans="1:11">
      <c r="A26" s="12"/>
      <c r="B26" s="12"/>
      <c r="C26" s="12"/>
      <c r="D26" s="12"/>
      <c r="E26" s="12"/>
      <c r="F26" s="12"/>
      <c r="G26" s="12"/>
      <c r="H26" s="12"/>
      <c r="I26" s="12"/>
      <c r="J26" s="12"/>
      <c r="K26" s="12"/>
    </row>
    <row r="27" spans="1:11">
      <c r="A27" s="12"/>
      <c r="B27" s="12"/>
      <c r="C27" s="12"/>
      <c r="D27" s="12"/>
      <c r="E27" s="12"/>
      <c r="F27" s="12"/>
      <c r="G27" s="12"/>
      <c r="H27" s="12"/>
      <c r="I27" s="12"/>
      <c r="J27" s="12"/>
      <c r="K27" s="12"/>
    </row>
    <row r="28" spans="1:11">
      <c r="A28" s="12"/>
      <c r="B28" s="12" t="s">
        <v>0</v>
      </c>
      <c r="C28" s="12"/>
      <c r="D28" s="12"/>
      <c r="E28" s="12"/>
      <c r="F28" s="12"/>
      <c r="G28" s="12"/>
      <c r="H28" s="12"/>
      <c r="I28" s="12"/>
      <c r="J28" s="12"/>
      <c r="K28" s="12"/>
    </row>
    <row r="29" spans="1:11" ht="15.75" thickBot="1">
      <c r="A29" s="12"/>
      <c r="B29" s="12"/>
      <c r="C29" s="12"/>
      <c r="D29" s="12"/>
      <c r="E29" s="12"/>
      <c r="F29" s="12"/>
      <c r="G29" s="12"/>
      <c r="H29" s="12"/>
      <c r="I29" s="12"/>
      <c r="J29" s="12"/>
      <c r="K29" s="12"/>
    </row>
    <row r="30" spans="1:11" ht="18.75" customHeight="1" thickBot="1">
      <c r="A30" s="175" t="s">
        <v>255</v>
      </c>
      <c r="B30" s="12"/>
      <c r="C30" s="12"/>
      <c r="D30" s="12"/>
      <c r="E30" s="12"/>
      <c r="F30" s="12"/>
      <c r="G30" s="12"/>
      <c r="H30" s="12"/>
      <c r="I30" s="12"/>
      <c r="J30" s="12"/>
      <c r="K30" s="12"/>
    </row>
    <row r="31" spans="1:11" ht="15" customHeight="1">
      <c r="A31" s="12"/>
      <c r="B31" s="12"/>
      <c r="C31" s="12"/>
      <c r="D31" s="12"/>
      <c r="E31" s="12"/>
      <c r="F31" s="12"/>
      <c r="G31" s="12"/>
      <c r="H31" s="12"/>
      <c r="I31" s="12"/>
      <c r="J31" s="12"/>
      <c r="K31" s="12"/>
    </row>
    <row r="32" spans="1:11" ht="15" customHeight="1">
      <c r="A32" s="12"/>
      <c r="B32" s="12"/>
      <c r="C32" s="12"/>
      <c r="D32" s="12"/>
      <c r="E32" s="12"/>
      <c r="F32" s="12"/>
      <c r="G32" s="12"/>
      <c r="H32" s="12"/>
      <c r="I32" s="12"/>
      <c r="J32" s="12"/>
      <c r="K32" s="12"/>
    </row>
    <row r="33" spans="1:11" ht="23.25" customHeight="1">
      <c r="A33" s="407">
        <v>1.66E-2</v>
      </c>
      <c r="B33" s="30" t="s">
        <v>514</v>
      </c>
      <c r="C33" s="12"/>
      <c r="E33" s="218" t="s">
        <v>0</v>
      </c>
      <c r="F33" s="12"/>
      <c r="G33" s="12"/>
      <c r="H33" s="12"/>
      <c r="I33" s="12"/>
      <c r="J33" s="12"/>
      <c r="K33" s="12"/>
    </row>
    <row r="34" spans="1:11" ht="23.25" customHeight="1">
      <c r="A34" s="233"/>
      <c r="B34" s="12" t="s">
        <v>304</v>
      </c>
      <c r="C34" s="12"/>
      <c r="D34" s="12"/>
      <c r="E34" s="12"/>
      <c r="F34" s="12"/>
      <c r="G34" s="12"/>
      <c r="H34" s="12"/>
      <c r="I34" s="12"/>
      <c r="J34" s="12"/>
      <c r="K34" s="12"/>
    </row>
    <row r="35" spans="1:11" ht="23.25" customHeight="1">
      <c r="A35" s="233"/>
      <c r="B35" s="159" t="s">
        <v>303</v>
      </c>
      <c r="C35" s="12"/>
      <c r="D35" s="12"/>
      <c r="E35" s="12"/>
      <c r="F35" s="12"/>
      <c r="G35" s="12"/>
      <c r="H35" s="12"/>
      <c r="I35" s="12"/>
      <c r="J35" s="12"/>
      <c r="K35" s="12"/>
    </row>
    <row r="36" spans="1:11" ht="23.25" customHeight="1">
      <c r="A36" s="407">
        <v>1.7999999999999999E-2</v>
      </c>
      <c r="B36" s="30" t="s">
        <v>256</v>
      </c>
      <c r="C36" s="12"/>
      <c r="D36" s="12"/>
      <c r="E36" s="12"/>
      <c r="F36" s="12"/>
      <c r="G36" s="12"/>
      <c r="H36" s="12"/>
      <c r="I36" s="12"/>
      <c r="J36" s="12"/>
      <c r="K36" s="12"/>
    </row>
    <row r="37" spans="1:11" ht="23.25" customHeight="1">
      <c r="A37" s="232"/>
      <c r="B37" s="234" t="s">
        <v>515</v>
      </c>
      <c r="C37" s="12"/>
      <c r="D37" s="12"/>
      <c r="E37" s="12"/>
      <c r="F37" s="12"/>
      <c r="G37" s="12"/>
      <c r="H37" s="12"/>
      <c r="I37" s="12"/>
      <c r="J37" s="12"/>
      <c r="K37" s="12"/>
    </row>
    <row r="38" spans="1:11" ht="23.25" customHeight="1">
      <c r="A38" s="232"/>
      <c r="B38" s="159" t="s">
        <v>516</v>
      </c>
      <c r="C38" s="12"/>
      <c r="D38" s="12"/>
      <c r="E38" s="12"/>
      <c r="F38" s="12"/>
      <c r="G38" s="12"/>
      <c r="H38" s="12"/>
      <c r="I38" s="12"/>
      <c r="J38" s="12"/>
      <c r="K38" s="12"/>
    </row>
    <row r="39" spans="1:11" ht="23.25" customHeight="1">
      <c r="A39" s="407" t="s">
        <v>459</v>
      </c>
      <c r="B39" s="30" t="s">
        <v>257</v>
      </c>
      <c r="C39" s="12"/>
      <c r="D39" s="12"/>
      <c r="E39" s="12"/>
      <c r="F39" s="12"/>
      <c r="G39" s="12"/>
      <c r="H39" s="12"/>
      <c r="I39" s="12"/>
      <c r="J39" s="12"/>
      <c r="K39" s="12"/>
    </row>
    <row r="40" spans="1:11" ht="23.25" customHeight="1">
      <c r="A40" s="232"/>
      <c r="B40" s="12" t="s">
        <v>517</v>
      </c>
      <c r="C40" s="12"/>
      <c r="D40" s="12"/>
      <c r="E40" s="12"/>
      <c r="F40" s="12"/>
      <c r="G40" s="12"/>
      <c r="H40" s="12"/>
      <c r="I40" s="12"/>
      <c r="J40" s="12"/>
      <c r="K40" s="12"/>
    </row>
    <row r="41" spans="1:11" ht="23.25" customHeight="1">
      <c r="A41" s="232"/>
      <c r="B41" s="159" t="s">
        <v>322</v>
      </c>
      <c r="C41" s="12"/>
      <c r="D41" s="12"/>
      <c r="E41" s="12"/>
      <c r="F41" s="12"/>
      <c r="G41" s="12"/>
      <c r="H41" s="12"/>
      <c r="I41" s="12"/>
      <c r="J41" s="12"/>
      <c r="K41" s="12"/>
    </row>
    <row r="42" spans="1:11" ht="23.25" customHeight="1">
      <c r="A42" s="468">
        <v>1.9E-2</v>
      </c>
      <c r="B42" s="30" t="s">
        <v>518</v>
      </c>
      <c r="C42" s="12"/>
      <c r="D42" s="12"/>
      <c r="E42" s="12"/>
      <c r="F42" s="12"/>
      <c r="G42" s="12"/>
      <c r="H42" s="12"/>
      <c r="I42" s="12"/>
      <c r="J42" s="12"/>
      <c r="K42" s="12"/>
    </row>
    <row r="43" spans="1:11" ht="23.25" customHeight="1">
      <c r="A43" s="232"/>
      <c r="B43" s="12" t="s">
        <v>519</v>
      </c>
      <c r="C43" s="12"/>
      <c r="D43" s="12"/>
      <c r="E43" s="12"/>
      <c r="F43" s="12"/>
      <c r="G43" s="12"/>
      <c r="H43" s="12"/>
      <c r="I43" s="12"/>
      <c r="J43" s="12"/>
      <c r="K43" s="12"/>
    </row>
    <row r="44" spans="1:11" ht="23.25" customHeight="1">
      <c r="A44" s="232"/>
      <c r="B44" s="159" t="s">
        <v>321</v>
      </c>
      <c r="C44" s="12"/>
      <c r="D44" s="12"/>
      <c r="E44" s="12"/>
      <c r="F44" s="12"/>
      <c r="G44" s="12"/>
      <c r="H44" s="12"/>
      <c r="I44" s="12"/>
      <c r="J44" s="12"/>
      <c r="K44" s="12"/>
    </row>
    <row r="45" spans="1:11" ht="23.25" customHeight="1">
      <c r="A45" s="407">
        <v>1.4999999999999999E-2</v>
      </c>
      <c r="B45" s="30" t="s">
        <v>258</v>
      </c>
      <c r="C45" s="12"/>
      <c r="D45" s="12"/>
      <c r="E45" s="12"/>
      <c r="F45" s="12"/>
      <c r="G45" s="12"/>
      <c r="H45" s="12"/>
      <c r="I45" s="12"/>
      <c r="J45" s="12"/>
      <c r="K45" s="12"/>
    </row>
    <row r="46" spans="1:11" ht="23.25" customHeight="1">
      <c r="A46" s="232"/>
      <c r="B46" s="12" t="s">
        <v>520</v>
      </c>
      <c r="C46" s="12"/>
      <c r="D46" s="12"/>
      <c r="E46" s="12"/>
      <c r="F46" s="12"/>
      <c r="G46" s="12"/>
      <c r="H46" s="12"/>
      <c r="I46" s="12"/>
      <c r="J46" s="12"/>
      <c r="K46" s="12"/>
    </row>
    <row r="47" spans="1:11" ht="23.25" customHeight="1">
      <c r="A47" s="232"/>
      <c r="B47" s="159" t="s">
        <v>521</v>
      </c>
      <c r="C47" s="12"/>
      <c r="D47" s="12"/>
      <c r="E47" s="12"/>
      <c r="F47" s="12"/>
      <c r="G47" s="12"/>
      <c r="H47" s="12"/>
      <c r="I47" s="12"/>
      <c r="J47" s="12"/>
      <c r="K47" s="12"/>
    </row>
    <row r="48" spans="1:11" ht="23.25" customHeight="1">
      <c r="A48" s="232" t="s">
        <v>0</v>
      </c>
      <c r="C48" s="12"/>
      <c r="D48" s="12"/>
      <c r="E48" s="12"/>
      <c r="F48" s="12"/>
      <c r="G48" s="12"/>
      <c r="H48" s="12"/>
      <c r="I48" s="12"/>
      <c r="J48" s="12"/>
      <c r="K48" s="12"/>
    </row>
    <row r="49" spans="1:11" ht="18" customHeight="1">
      <c r="A49" s="406" t="s">
        <v>272</v>
      </c>
      <c r="C49" s="12"/>
      <c r="D49" s="12"/>
      <c r="E49" s="12"/>
      <c r="F49" s="12"/>
      <c r="G49" s="12"/>
      <c r="H49" s="12"/>
      <c r="I49" s="12"/>
      <c r="J49" s="12"/>
      <c r="K49" s="12"/>
    </row>
    <row r="50" spans="1:11" ht="18" customHeight="1">
      <c r="A50" s="30" t="s">
        <v>273</v>
      </c>
      <c r="B50" s="12"/>
      <c r="C50" s="12"/>
      <c r="D50" s="12"/>
      <c r="E50" s="12"/>
      <c r="H50" s="12"/>
      <c r="I50" s="12"/>
      <c r="J50" s="12"/>
      <c r="K50" s="12"/>
    </row>
    <row r="51" spans="1:11" ht="15" customHeight="1">
      <c r="A51" s="159" t="s">
        <v>274</v>
      </c>
      <c r="B51" s="12"/>
      <c r="C51" s="12"/>
      <c r="D51" s="12"/>
      <c r="E51" s="12"/>
      <c r="F51" s="12"/>
      <c r="G51" s="12"/>
      <c r="H51" s="12"/>
      <c r="I51" s="12"/>
      <c r="J51" s="12"/>
      <c r="K51" s="12"/>
    </row>
    <row r="52" spans="1:11" ht="15" customHeight="1">
      <c r="A52" s="159"/>
      <c r="B52" s="12"/>
      <c r="C52" s="12"/>
      <c r="D52" s="12"/>
      <c r="E52" s="12"/>
      <c r="F52" s="12"/>
      <c r="G52" s="12" t="s">
        <v>0</v>
      </c>
      <c r="H52" s="12" t="s">
        <v>0</v>
      </c>
      <c r="I52" s="12"/>
      <c r="J52" s="12"/>
      <c r="K52" s="12"/>
    </row>
    <row r="53" spans="1:11" ht="15" customHeight="1">
      <c r="A53" s="12"/>
      <c r="B53" s="12"/>
      <c r="C53" s="12"/>
      <c r="D53" s="12"/>
      <c r="E53" s="12"/>
      <c r="F53" s="12"/>
      <c r="G53" s="12" t="s">
        <v>0</v>
      </c>
      <c r="H53" s="12"/>
      <c r="I53" s="12"/>
      <c r="J53" s="12"/>
      <c r="K53" s="12"/>
    </row>
    <row r="54" spans="1:11" ht="15.75" customHeight="1" thickBot="1">
      <c r="A54" s="12"/>
      <c r="B54" s="12"/>
      <c r="C54" s="12"/>
      <c r="D54" s="12"/>
      <c r="E54" s="12"/>
      <c r="F54" s="12"/>
      <c r="G54" s="12" t="s">
        <v>0</v>
      </c>
      <c r="H54" s="12"/>
      <c r="I54" s="12"/>
      <c r="J54" s="12"/>
      <c r="K54" s="12"/>
    </row>
    <row r="55" spans="1:11" ht="18.75" customHeight="1" thickBot="1">
      <c r="A55" s="175" t="s">
        <v>254</v>
      </c>
      <c r="B55" s="43" t="s">
        <v>444</v>
      </c>
      <c r="C55" s="12"/>
      <c r="D55" s="12"/>
      <c r="E55" s="12"/>
      <c r="F55" s="12"/>
      <c r="G55" s="12"/>
      <c r="H55" s="12"/>
      <c r="I55" s="12"/>
      <c r="J55" s="12"/>
      <c r="K55" s="12"/>
    </row>
    <row r="56" spans="1:11" ht="15" customHeight="1">
      <c r="A56" s="12"/>
      <c r="B56" s="12"/>
      <c r="C56" s="12"/>
      <c r="D56" s="12"/>
      <c r="E56" s="12"/>
      <c r="F56" s="12"/>
      <c r="G56" s="412" t="s">
        <v>451</v>
      </c>
      <c r="H56" s="413" t="s">
        <v>458</v>
      </c>
      <c r="I56" s="12"/>
      <c r="J56" s="12"/>
      <c r="K56" s="12"/>
    </row>
    <row r="57" spans="1:11" ht="23.25" customHeight="1">
      <c r="A57" s="407">
        <v>2.3E-2</v>
      </c>
      <c r="B57" s="30" t="s">
        <v>445</v>
      </c>
      <c r="C57" s="12"/>
      <c r="E57" s="12"/>
      <c r="G57" s="414" t="s">
        <v>452</v>
      </c>
      <c r="H57" s="415" t="s">
        <v>453</v>
      </c>
      <c r="I57" s="12"/>
      <c r="J57" s="12"/>
      <c r="K57" s="12"/>
    </row>
    <row r="58" spans="1:11" ht="23.25" customHeight="1">
      <c r="A58" s="407">
        <v>2.53E-2</v>
      </c>
      <c r="B58" s="30" t="s">
        <v>446</v>
      </c>
      <c r="C58" s="12"/>
      <c r="E58" s="12"/>
      <c r="G58" s="414" t="s">
        <v>454</v>
      </c>
      <c r="H58" s="415" t="s">
        <v>455</v>
      </c>
      <c r="I58" s="12"/>
      <c r="J58" s="12"/>
      <c r="K58" s="12"/>
    </row>
    <row r="59" spans="1:11" ht="23.25" customHeight="1">
      <c r="A59" s="407">
        <v>2.3099999999999999E-2</v>
      </c>
      <c r="B59" s="30" t="s">
        <v>447</v>
      </c>
      <c r="C59" s="12"/>
      <c r="D59" s="12"/>
      <c r="E59" s="12"/>
      <c r="G59" s="416" t="s">
        <v>456</v>
      </c>
      <c r="H59" s="417" t="s">
        <v>457</v>
      </c>
      <c r="I59" s="12"/>
      <c r="J59" s="12"/>
      <c r="K59" s="12"/>
    </row>
    <row r="60" spans="1:11" ht="23.25" customHeight="1">
      <c r="A60" s="407"/>
      <c r="B60" s="30"/>
      <c r="C60" s="12"/>
      <c r="D60" s="12"/>
      <c r="E60" s="12"/>
      <c r="G60" s="14"/>
      <c r="H60" s="160"/>
      <c r="I60" s="12"/>
      <c r="J60" s="12"/>
      <c r="K60" s="12"/>
    </row>
    <row r="61" spans="1:11" ht="18.75" customHeight="1">
      <c r="A61" s="408" t="s">
        <v>522</v>
      </c>
      <c r="B61" s="30"/>
      <c r="C61" s="12"/>
      <c r="D61" s="12"/>
      <c r="E61" s="12"/>
      <c r="F61" s="399"/>
      <c r="G61" s="89"/>
      <c r="H61" s="12"/>
      <c r="I61" s="12"/>
      <c r="J61" s="12"/>
      <c r="K61" s="12"/>
    </row>
    <row r="62" spans="1:11" ht="23.25" customHeight="1">
      <c r="A62" s="407"/>
      <c r="B62" s="30"/>
      <c r="C62" s="12"/>
      <c r="D62" s="12"/>
      <c r="E62" s="12"/>
      <c r="F62" s="399"/>
      <c r="G62" s="89"/>
      <c r="H62" s="12"/>
      <c r="I62" s="12"/>
      <c r="J62" s="12"/>
      <c r="K62" s="12"/>
    </row>
    <row r="63" spans="1:11" ht="23.25" customHeight="1">
      <c r="A63" s="407">
        <v>2.5499999999999998E-2</v>
      </c>
      <c r="B63" s="30" t="s">
        <v>264</v>
      </c>
      <c r="C63" s="12"/>
      <c r="D63" s="12"/>
      <c r="E63" s="12"/>
      <c r="F63" s="12"/>
      <c r="G63" s="12"/>
      <c r="H63" s="12"/>
      <c r="I63" s="12"/>
      <c r="J63" s="12"/>
      <c r="K63" s="12"/>
    </row>
    <row r="64" spans="1:11" ht="23.25" customHeight="1">
      <c r="A64" s="407">
        <v>2.5000000000000001E-2</v>
      </c>
      <c r="B64" s="30" t="s">
        <v>265</v>
      </c>
      <c r="C64" s="12"/>
      <c r="D64" s="12"/>
      <c r="E64" s="12"/>
      <c r="F64" s="12"/>
      <c r="G64" s="12"/>
      <c r="H64" s="12"/>
      <c r="I64" s="12"/>
      <c r="J64" s="12"/>
      <c r="K64" s="12"/>
    </row>
    <row r="65" spans="1:11" ht="23.25" customHeight="1">
      <c r="A65" s="407">
        <v>2.4400000000000002E-2</v>
      </c>
      <c r="B65" s="30" t="s">
        <v>266</v>
      </c>
      <c r="C65" s="12"/>
      <c r="D65" s="12"/>
      <c r="E65" s="12"/>
      <c r="F65" s="12"/>
      <c r="G65" s="12"/>
      <c r="H65" s="12"/>
      <c r="I65" s="12"/>
      <c r="J65" s="12"/>
      <c r="K65" s="12"/>
    </row>
    <row r="66" spans="1:11" ht="23.25" customHeight="1">
      <c r="A66" s="407">
        <v>2.3E-2</v>
      </c>
      <c r="B66" s="30" t="s">
        <v>523</v>
      </c>
      <c r="C66" s="12"/>
      <c r="D66" s="12"/>
      <c r="E66" s="12"/>
      <c r="F66" s="12"/>
      <c r="G66" s="12"/>
      <c r="H66" s="12"/>
      <c r="I66" s="12"/>
      <c r="J66" s="12"/>
      <c r="K66" s="12"/>
    </row>
    <row r="67" spans="1:11" ht="23.25" customHeight="1">
      <c r="A67" s="407">
        <v>0.02</v>
      </c>
      <c r="B67" s="30" t="s">
        <v>261</v>
      </c>
      <c r="C67" s="12"/>
      <c r="D67" s="12"/>
      <c r="E67" s="12"/>
      <c r="F67" s="12"/>
      <c r="G67" s="12"/>
      <c r="H67" s="12"/>
      <c r="I67" s="12"/>
      <c r="J67" s="12"/>
      <c r="K67" s="12"/>
    </row>
    <row r="68" spans="1:11" ht="27" customHeight="1">
      <c r="B68" s="12" t="s">
        <v>0</v>
      </c>
      <c r="C68" s="12"/>
      <c r="D68" s="12"/>
      <c r="E68" s="12"/>
      <c r="F68" s="12"/>
      <c r="G68" s="12"/>
      <c r="H68" s="12"/>
      <c r="I68" s="12"/>
      <c r="J68" s="12"/>
      <c r="K68" s="12"/>
    </row>
    <row r="69" spans="1:11" ht="15" customHeight="1">
      <c r="A69" s="12"/>
      <c r="B69" s="12"/>
      <c r="C69" s="12"/>
      <c r="D69" s="12"/>
      <c r="E69" s="12"/>
      <c r="F69" s="12"/>
      <c r="G69" s="12"/>
      <c r="H69" s="12"/>
      <c r="I69" s="12"/>
      <c r="J69" s="12"/>
      <c r="K69" s="12"/>
    </row>
    <row r="70" spans="1:11" ht="15.75" customHeight="1" thickBot="1">
      <c r="B70" s="12"/>
      <c r="C70" s="12"/>
      <c r="D70" s="28"/>
      <c r="E70" s="28"/>
      <c r="F70" s="28"/>
      <c r="G70" s="12"/>
      <c r="H70" s="12"/>
      <c r="I70" s="12"/>
      <c r="J70" s="12"/>
      <c r="K70" s="12"/>
    </row>
    <row r="71" spans="1:11" ht="20.25" customHeight="1">
      <c r="B71" s="30"/>
      <c r="C71" s="30"/>
      <c r="D71" s="12"/>
      <c r="E71" s="31" t="s">
        <v>215</v>
      </c>
      <c r="F71" s="12"/>
      <c r="G71" s="12"/>
      <c r="H71" s="12"/>
      <c r="I71" s="12"/>
      <c r="J71" s="12"/>
      <c r="K71" s="12"/>
    </row>
    <row r="72" spans="1:11" ht="18.75" customHeight="1" thickBot="1">
      <c r="A72" s="162"/>
      <c r="B72" s="30"/>
      <c r="C72" s="30"/>
      <c r="D72" s="28"/>
      <c r="E72" s="36" t="s">
        <v>77</v>
      </c>
      <c r="F72" s="28"/>
      <c r="G72" s="12"/>
      <c r="H72" s="12"/>
      <c r="I72" s="12"/>
      <c r="J72" s="12"/>
      <c r="K72" s="12"/>
    </row>
    <row r="73" spans="1:11" ht="18.75" customHeight="1" thickBot="1">
      <c r="A73" s="161" t="s">
        <v>216</v>
      </c>
      <c r="B73" s="30"/>
      <c r="C73" s="30"/>
      <c r="D73" s="34"/>
      <c r="E73" s="158"/>
      <c r="F73" s="12"/>
      <c r="G73" s="12"/>
      <c r="H73" s="12"/>
      <c r="I73" s="12"/>
      <c r="J73" s="12"/>
      <c r="K73" s="12"/>
    </row>
    <row r="74" spans="1:11" ht="15" customHeight="1">
      <c r="A74" s="38" t="s">
        <v>0</v>
      </c>
      <c r="B74" s="38"/>
      <c r="C74" s="38"/>
      <c r="D74" s="40" t="s">
        <v>0</v>
      </c>
      <c r="E74" s="40" t="s">
        <v>0</v>
      </c>
      <c r="F74" s="40" t="s">
        <v>0</v>
      </c>
      <c r="G74" s="40"/>
      <c r="H74" s="12"/>
      <c r="I74" s="12"/>
    </row>
    <row r="75" spans="1:11" ht="15" customHeight="1">
      <c r="A75" s="34" t="s">
        <v>0</v>
      </c>
      <c r="B75" s="34"/>
      <c r="C75" s="34"/>
      <c r="D75" s="196" t="s">
        <v>81</v>
      </c>
      <c r="E75" s="196" t="s">
        <v>260</v>
      </c>
      <c r="F75" s="196" t="s">
        <v>130</v>
      </c>
      <c r="G75" s="280"/>
      <c r="H75" s="12"/>
      <c r="I75" s="12"/>
    </row>
    <row r="76" spans="1:11" ht="15" customHeight="1">
      <c r="A76" s="134" t="s">
        <v>128</v>
      </c>
      <c r="B76" s="134"/>
      <c r="C76" s="134"/>
      <c r="D76" s="197" t="s">
        <v>83</v>
      </c>
      <c r="E76" s="197" t="s">
        <v>129</v>
      </c>
      <c r="F76" s="197" t="s">
        <v>131</v>
      </c>
      <c r="G76" s="280"/>
      <c r="H76" s="12"/>
      <c r="I76" s="12"/>
    </row>
    <row r="79" spans="1:11" ht="15.75" customHeight="1">
      <c r="A79" s="178" t="s">
        <v>267</v>
      </c>
      <c r="B79" s="179"/>
      <c r="C79" s="226"/>
      <c r="D79" s="187">
        <f>+A57</f>
        <v>2.3E-2</v>
      </c>
      <c r="E79" s="187">
        <v>1.5800000000000002E-2</v>
      </c>
      <c r="F79" s="180">
        <f t="shared" ref="F79:F86" si="1">+D79+E79</f>
        <v>3.8800000000000001E-2</v>
      </c>
      <c r="G79" s="281"/>
      <c r="H79" s="12"/>
      <c r="I79" s="12"/>
    </row>
    <row r="80" spans="1:11" ht="15.75" customHeight="1">
      <c r="A80" s="181" t="s">
        <v>268</v>
      </c>
      <c r="B80" s="64"/>
      <c r="C80" s="227"/>
      <c r="D80" s="409">
        <f>+A58</f>
        <v>2.53E-2</v>
      </c>
      <c r="E80" s="409">
        <v>1.61E-2</v>
      </c>
      <c r="F80" s="182">
        <f t="shared" si="1"/>
        <v>4.1399999999999999E-2</v>
      </c>
      <c r="G80" s="281"/>
      <c r="H80" s="12"/>
      <c r="I80" s="12"/>
    </row>
    <row r="81" spans="1:9" ht="15.75" customHeight="1">
      <c r="A81" s="183" t="s">
        <v>269</v>
      </c>
      <c r="B81" s="184"/>
      <c r="C81" s="228"/>
      <c r="D81" s="188">
        <f>+A59</f>
        <v>2.3099999999999999E-2</v>
      </c>
      <c r="E81" s="188">
        <v>1.66E-2</v>
      </c>
      <c r="F81" s="185">
        <f t="shared" si="1"/>
        <v>3.9699999999999999E-2</v>
      </c>
      <c r="G81" s="281"/>
      <c r="H81" s="12"/>
      <c r="I81" s="12"/>
    </row>
    <row r="82" spans="1:9" ht="15.75" customHeight="1">
      <c r="A82" s="181" t="s">
        <v>270</v>
      </c>
      <c r="B82" s="64"/>
      <c r="C82" s="227"/>
      <c r="D82" s="409">
        <f t="shared" ref="D82:D84" si="2">+A63</f>
        <v>2.5499999999999998E-2</v>
      </c>
      <c r="E82" s="409">
        <v>1.9699999999999999E-2</v>
      </c>
      <c r="F82" s="182">
        <f t="shared" si="1"/>
        <v>4.5199999999999997E-2</v>
      </c>
      <c r="G82" s="281"/>
      <c r="H82" s="12"/>
      <c r="I82" s="12"/>
    </row>
    <row r="83" spans="1:9" ht="15.75" customHeight="1">
      <c r="A83" s="181" t="s">
        <v>271</v>
      </c>
      <c r="B83" s="64"/>
      <c r="C83" s="227"/>
      <c r="D83" s="409">
        <f t="shared" si="2"/>
        <v>2.5000000000000001E-2</v>
      </c>
      <c r="E83" s="409">
        <v>1.9300000000000001E-2</v>
      </c>
      <c r="F83" s="182">
        <f t="shared" si="1"/>
        <v>4.4300000000000006E-2</v>
      </c>
      <c r="G83" s="281"/>
      <c r="H83" s="12"/>
      <c r="I83" s="12"/>
    </row>
    <row r="84" spans="1:9" ht="15.75" customHeight="1">
      <c r="A84" s="181" t="s">
        <v>524</v>
      </c>
      <c r="B84" s="64"/>
      <c r="C84" s="227"/>
      <c r="D84" s="409">
        <f t="shared" si="2"/>
        <v>2.4400000000000002E-2</v>
      </c>
      <c r="E84" s="409">
        <v>1.9599999999999999E-2</v>
      </c>
      <c r="F84" s="182">
        <f t="shared" si="1"/>
        <v>4.3999999999999997E-2</v>
      </c>
      <c r="G84" s="281"/>
      <c r="H84" s="12"/>
      <c r="I84" s="12"/>
    </row>
    <row r="85" spans="1:9" ht="15.75" customHeight="1">
      <c r="A85" s="181" t="s">
        <v>525</v>
      </c>
      <c r="B85" s="64"/>
      <c r="C85" s="227"/>
      <c r="D85" s="409">
        <f>+A66</f>
        <v>2.3E-2</v>
      </c>
      <c r="E85" s="409">
        <v>1.7999999999999999E-2</v>
      </c>
      <c r="F85" s="182">
        <f t="shared" si="1"/>
        <v>4.0999999999999995E-2</v>
      </c>
      <c r="G85" s="281"/>
      <c r="H85" s="12"/>
      <c r="I85" s="12"/>
    </row>
    <row r="86" spans="1:9" ht="15.75" customHeight="1">
      <c r="A86" s="183" t="s">
        <v>262</v>
      </c>
      <c r="B86" s="184"/>
      <c r="C86" s="228"/>
      <c r="D86" s="188">
        <f>+A67</f>
        <v>0.02</v>
      </c>
      <c r="E86" s="188">
        <v>1.7000000000000001E-2</v>
      </c>
      <c r="F86" s="185">
        <f t="shared" si="1"/>
        <v>3.7000000000000005E-2</v>
      </c>
      <c r="G86" s="281"/>
      <c r="H86" s="12"/>
      <c r="I86" s="12"/>
    </row>
    <row r="87" spans="1:9" ht="15.75" customHeight="1">
      <c r="A87" s="110"/>
      <c r="B87" s="128"/>
      <c r="C87" s="128" t="s">
        <v>46</v>
      </c>
      <c r="D87" s="186">
        <v>2.5499999999999998E-2</v>
      </c>
      <c r="E87" s="186">
        <v>1.9699999999999999E-2</v>
      </c>
      <c r="F87" s="186">
        <v>4.5199999999999997E-2</v>
      </c>
      <c r="G87" s="282"/>
      <c r="H87" s="12"/>
      <c r="I87" s="12"/>
    </row>
    <row r="88" spans="1:9" ht="15.75" customHeight="1">
      <c r="A88" s="110"/>
      <c r="B88" s="128"/>
      <c r="C88" s="128" t="s">
        <v>47</v>
      </c>
      <c r="D88" s="186">
        <v>0.02</v>
      </c>
      <c r="E88" s="186">
        <v>1.5800000000000002E-2</v>
      </c>
      <c r="F88" s="241">
        <v>3.6999999999999998E-2</v>
      </c>
      <c r="G88" s="282"/>
      <c r="H88" s="12"/>
      <c r="I88" s="12"/>
    </row>
    <row r="89" spans="1:9" ht="15.75" customHeight="1">
      <c r="A89" s="110"/>
      <c r="B89" s="128"/>
      <c r="C89" s="128" t="s">
        <v>18</v>
      </c>
      <c r="D89" s="469">
        <f>MEDIAN(D79:D86)</f>
        <v>2.375E-2</v>
      </c>
      <c r="E89" s="469">
        <f>MEDIAN(E79:E86)</f>
        <v>1.7500000000000002E-2</v>
      </c>
      <c r="F89" s="182">
        <f t="shared" ref="F89:F90" si="3">+D89+E89</f>
        <v>4.1250000000000002E-2</v>
      </c>
      <c r="G89" s="281"/>
      <c r="H89" s="12"/>
      <c r="I89" s="12"/>
    </row>
    <row r="90" spans="1:9" ht="15.75" customHeight="1">
      <c r="A90" s="110"/>
      <c r="B90" s="128"/>
      <c r="C90" s="128" t="s">
        <v>19</v>
      </c>
      <c r="D90" s="418">
        <f>AVERAGE(D79:D86)</f>
        <v>2.3662499999999996E-2</v>
      </c>
      <c r="E90" s="418">
        <f>AVERAGE(E79:E86)</f>
        <v>1.7762500000000001E-2</v>
      </c>
      <c r="F90" s="185">
        <f t="shared" si="3"/>
        <v>4.1424999999999997E-2</v>
      </c>
      <c r="G90" s="281"/>
      <c r="H90" s="12"/>
      <c r="I90" s="12"/>
    </row>
    <row r="91" spans="1:9" ht="15" customHeight="1">
      <c r="A91" s="12"/>
      <c r="B91" s="14"/>
    </row>
    <row r="92" spans="1:9" ht="18.75" customHeight="1" thickBot="1">
      <c r="A92" s="12"/>
      <c r="B92" s="14"/>
    </row>
    <row r="93" spans="1:9" ht="21" customHeight="1" thickBot="1">
      <c r="A93" s="12"/>
      <c r="B93" s="135"/>
      <c r="C93" s="49" t="s">
        <v>218</v>
      </c>
      <c r="D93" s="371">
        <v>2.366E-2</v>
      </c>
      <c r="E93" s="371">
        <v>1.7760000000000001E-2</v>
      </c>
      <c r="F93" s="419">
        <f>+D93+E93</f>
        <v>4.1419999999999998E-2</v>
      </c>
    </row>
    <row r="94" spans="1:9" ht="15" customHeight="1">
      <c r="A94" s="12"/>
      <c r="B94" s="12"/>
      <c r="C94" s="12"/>
      <c r="D94" s="12"/>
      <c r="E94" s="12"/>
      <c r="F94" s="12"/>
      <c r="G94" s="12"/>
      <c r="I94" s="12"/>
    </row>
    <row r="95" spans="1:9" ht="15" customHeight="1">
      <c r="A95" s="12"/>
      <c r="B95" s="12"/>
      <c r="C95" s="12"/>
      <c r="D95" s="12"/>
      <c r="E95" s="12"/>
      <c r="F95" s="12"/>
      <c r="G95" s="12"/>
      <c r="I95" s="12" t="s">
        <v>0</v>
      </c>
    </row>
    <row r="96" spans="1:9" ht="16.5" customHeight="1">
      <c r="A96" s="12"/>
      <c r="B96" s="12"/>
      <c r="C96" s="12"/>
      <c r="D96" s="12"/>
      <c r="E96" s="12"/>
      <c r="F96" s="12"/>
      <c r="G96" s="12"/>
      <c r="H96" s="12"/>
      <c r="I96" s="12"/>
    </row>
    <row r="97" spans="1:9" ht="15" customHeight="1">
      <c r="A97" s="136" t="s">
        <v>151</v>
      </c>
      <c r="B97" s="137"/>
      <c r="C97" s="137"/>
      <c r="D97" s="137"/>
      <c r="E97" s="138"/>
      <c r="F97" s="137"/>
      <c r="G97" s="137"/>
      <c r="H97" s="137"/>
      <c r="I97" s="12"/>
    </row>
    <row r="98" spans="1:9" ht="15" customHeight="1">
      <c r="A98" s="484" t="s">
        <v>442</v>
      </c>
      <c r="B98" s="484"/>
      <c r="C98" s="484"/>
      <c r="D98" s="484"/>
      <c r="E98" s="484"/>
      <c r="F98" s="484"/>
      <c r="G98" s="484"/>
      <c r="H98" s="484"/>
      <c r="I98" s="12"/>
    </row>
    <row r="99" spans="1:9" ht="16.5" customHeight="1">
      <c r="A99" s="159" t="s">
        <v>443</v>
      </c>
      <c r="B99" s="137"/>
      <c r="C99" s="159" t="s">
        <v>0</v>
      </c>
      <c r="D99" s="137"/>
      <c r="E99" s="138"/>
      <c r="F99" s="137"/>
      <c r="G99" s="137"/>
      <c r="H99" s="137"/>
      <c r="I99" s="12"/>
    </row>
    <row r="100" spans="1:9" ht="15" customHeight="1">
      <c r="A100" s="136"/>
      <c r="B100" s="137"/>
      <c r="C100" s="137"/>
      <c r="D100" s="137"/>
      <c r="E100" s="138"/>
      <c r="F100" s="137"/>
      <c r="G100" s="137"/>
      <c r="H100" s="137"/>
      <c r="I100" s="12"/>
    </row>
    <row r="101" spans="1:9" ht="15" customHeight="1">
      <c r="A101" s="484" t="s">
        <v>441</v>
      </c>
      <c r="B101" s="484"/>
      <c r="C101" s="484"/>
      <c r="D101" s="484"/>
      <c r="E101" s="484"/>
      <c r="F101" s="484"/>
      <c r="G101" s="484"/>
      <c r="H101" s="484"/>
      <c r="I101" s="12"/>
    </row>
    <row r="102" spans="1:9" ht="16.5" customHeight="1">
      <c r="A102" s="139" t="s">
        <v>152</v>
      </c>
      <c r="B102" s="140"/>
      <c r="C102" s="140" t="s">
        <v>0</v>
      </c>
      <c r="D102" s="140"/>
      <c r="E102" s="140"/>
      <c r="F102" s="140"/>
      <c r="G102" s="140"/>
      <c r="H102" s="137"/>
      <c r="I102" s="12"/>
    </row>
    <row r="103" spans="1:9" ht="15" customHeight="1">
      <c r="A103" s="139"/>
      <c r="B103" s="140"/>
      <c r="C103" s="140"/>
      <c r="D103" s="140"/>
      <c r="E103" s="140"/>
      <c r="F103" s="140"/>
      <c r="G103" s="140"/>
      <c r="H103" s="137"/>
      <c r="I103" s="12"/>
    </row>
    <row r="104" spans="1:9" ht="15" customHeight="1">
      <c r="A104" s="484" t="s">
        <v>217</v>
      </c>
      <c r="B104" s="484"/>
      <c r="C104" s="484"/>
      <c r="D104" s="484"/>
      <c r="E104" s="484"/>
      <c r="F104" s="484"/>
      <c r="G104" s="484"/>
      <c r="H104" s="484"/>
      <c r="I104" s="12"/>
    </row>
    <row r="105" spans="1:9" ht="16.5" customHeight="1">
      <c r="A105" s="139" t="s">
        <v>152</v>
      </c>
      <c r="B105" s="140"/>
      <c r="C105" s="140" t="s">
        <v>0</v>
      </c>
      <c r="D105" s="140"/>
      <c r="E105" s="140"/>
      <c r="F105" s="140"/>
      <c r="G105" s="140"/>
      <c r="H105" s="137"/>
      <c r="I105" s="12"/>
    </row>
    <row r="106" spans="1:9" ht="15" customHeight="1">
      <c r="A106" s="139"/>
      <c r="B106" s="140"/>
      <c r="C106" s="140"/>
      <c r="D106" s="140"/>
      <c r="E106" s="140"/>
      <c r="F106" s="140"/>
      <c r="G106" s="140"/>
      <c r="H106" s="137"/>
      <c r="I106" s="12"/>
    </row>
    <row r="107" spans="1:9" ht="15" customHeight="1">
      <c r="A107" s="484" t="s">
        <v>448</v>
      </c>
      <c r="B107" s="484"/>
      <c r="C107" s="484"/>
      <c r="D107" s="484"/>
      <c r="E107" s="484"/>
      <c r="F107" s="484"/>
      <c r="G107" s="484"/>
      <c r="H107" s="484"/>
      <c r="I107" s="12"/>
    </row>
    <row r="108" spans="1:9" ht="15" customHeight="1">
      <c r="A108" s="410" t="s">
        <v>153</v>
      </c>
      <c r="B108" s="140"/>
      <c r="C108" s="140"/>
      <c r="D108" s="140"/>
      <c r="E108" s="140"/>
      <c r="F108" s="140"/>
      <c r="G108" s="140"/>
      <c r="H108" s="137"/>
      <c r="I108" s="12"/>
    </row>
    <row r="109" spans="1:9" ht="15" customHeight="1">
      <c r="A109" s="159" t="s">
        <v>449</v>
      </c>
      <c r="B109" s="140"/>
      <c r="C109" s="140"/>
      <c r="D109" s="140"/>
      <c r="E109" s="140"/>
      <c r="F109" s="140"/>
      <c r="G109" s="140"/>
      <c r="H109" s="137"/>
      <c r="I109" s="12"/>
    </row>
    <row r="110" spans="1:9" ht="15" customHeight="1">
      <c r="A110" s="159"/>
      <c r="B110" s="140"/>
      <c r="C110" s="140"/>
      <c r="D110" s="140"/>
      <c r="E110" s="140"/>
      <c r="F110" s="140"/>
      <c r="G110" s="140"/>
      <c r="H110" s="137"/>
      <c r="I110" s="12"/>
    </row>
    <row r="111" spans="1:9" ht="15" customHeight="1">
      <c r="A111" s="142" t="s">
        <v>526</v>
      </c>
      <c r="B111" s="142"/>
      <c r="C111" s="142"/>
      <c r="D111" s="142"/>
      <c r="E111" s="142"/>
      <c r="F111" s="142"/>
      <c r="G111" s="142"/>
      <c r="H111" s="137"/>
      <c r="I111" s="12"/>
    </row>
    <row r="112" spans="1:9" ht="15" customHeight="1">
      <c r="A112" s="141" t="s">
        <v>154</v>
      </c>
      <c r="B112" s="140"/>
      <c r="C112" s="159" t="s">
        <v>527</v>
      </c>
      <c r="D112" s="140"/>
      <c r="E112" s="140"/>
      <c r="F112" s="140"/>
      <c r="G112" s="140"/>
      <c r="H112" s="137"/>
      <c r="I112" s="12"/>
    </row>
    <row r="113" spans="1:9" ht="15" customHeight="1">
      <c r="A113" s="141"/>
      <c r="B113" s="143"/>
      <c r="C113" s="143"/>
      <c r="D113" s="143"/>
      <c r="E113" s="143"/>
      <c r="F113" s="143"/>
      <c r="G113" s="143"/>
      <c r="H113" s="144"/>
      <c r="I113" s="12"/>
    </row>
    <row r="114" spans="1:9" ht="15" customHeight="1">
      <c r="A114" s="142" t="s">
        <v>263</v>
      </c>
    </row>
    <row r="115" spans="1:9">
      <c r="A115" s="411" t="s">
        <v>450</v>
      </c>
    </row>
    <row r="117" spans="1:9" ht="27.75" customHeight="1"/>
  </sheetData>
  <mergeCells count="4">
    <mergeCell ref="A107:H107"/>
    <mergeCell ref="A98:H98"/>
    <mergeCell ref="A101:H101"/>
    <mergeCell ref="A104:H104"/>
  </mergeCells>
  <hyperlinks>
    <hyperlink ref="A102" r:id="rId1" xr:uid="{4DA84318-3ED2-45B4-AA3C-D9F750D7E3DF}"/>
    <hyperlink ref="A112" r:id="rId2" location="4" display="https://www.cbo.gov/about/products/budget-economic-data - 4" xr:uid="{FDA661C8-9749-4672-BD6C-009CE1523221}"/>
    <hyperlink ref="A108" r:id="rId3" xr:uid="{2A6AB982-D71F-459D-B909-774BBFE5824B}"/>
    <hyperlink ref="A105" r:id="rId4" xr:uid="{DEECBA10-E745-4132-83A4-76C2AF0A9189}"/>
    <hyperlink ref="A51" r:id="rId5" xr:uid="{E33720D9-6A4A-421C-AD2B-0E446FC80DAB}"/>
    <hyperlink ref="B35" r:id="rId6" xr:uid="{5E041AEA-B3D6-430D-9239-736B624FAAD7}"/>
    <hyperlink ref="B38" r:id="rId7" xr:uid="{74408900-89A1-4B42-A270-B3316FDF992B}"/>
    <hyperlink ref="B44" r:id="rId8" xr:uid="{7EA5054C-6D24-40A0-B86F-C4E564B7F9B6}"/>
    <hyperlink ref="B41" r:id="rId9" xr:uid="{5D91E014-E9F9-471D-B6E6-CF57192F8B7E}"/>
    <hyperlink ref="B47" r:id="rId10" xr:uid="{FC6449D7-1632-48AD-B15B-5C3417F24723}"/>
    <hyperlink ref="A99" r:id="rId11" xr:uid="{108B5417-5BAA-41D7-9A7F-55D55FFACC88}"/>
    <hyperlink ref="A115" r:id="rId12" xr:uid="{794704C5-CD2D-4E1E-B45E-6C52A4D61473}"/>
    <hyperlink ref="C99" r:id="rId13" display="https://www.federalreserve.gov/datadownload/Preview.aspx?pi=400&amp;rel=H15&amp;preview=%20H15/H15/RIFLGFCY05_N.WF" xr:uid="{93DDF9A8-A0DF-491E-99EE-B04B26EA8E42}"/>
    <hyperlink ref="A109" r:id="rId14" display="https://www.philadelphiafed.org/-/media/frbp/assets/surveys-and-data/survey-of-professional-forecasters/2023/spfq123.pdf" xr:uid="{58DC697F-227A-477C-ABD9-2CCF7C340D61}"/>
    <hyperlink ref="C112" r:id="rId15" xr:uid="{D8E5E0B9-63E1-4DDE-B02F-825CCB205708}"/>
  </hyperlinks>
  <pageMargins left="0.25" right="0.25" top="0.75" bottom="0.75" header="0.3" footer="0.3"/>
  <pageSetup scale="29" fitToWidth="0" orientation="portrait" r:id="rId16"/>
  <rowBreaks count="1" manualBreakCount="1">
    <brk id="11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2846-3807-4F4D-BD02-A8B0B2C565FB}">
  <sheetPr>
    <tabColor rgb="FF92D050"/>
    <pageSetUpPr fitToPage="1"/>
  </sheetPr>
  <dimension ref="A1:I106"/>
  <sheetViews>
    <sheetView view="pageBreakPreview" topLeftCell="A26" zoomScale="70" zoomScaleNormal="80" zoomScaleSheetLayoutView="70" workbookViewId="0">
      <selection activeCell="F43" sqref="F43"/>
    </sheetView>
  </sheetViews>
  <sheetFormatPr defaultRowHeight="15"/>
  <cols>
    <col min="1" max="1" width="45.7109375" customWidth="1"/>
    <col min="2" max="2" width="17.85546875" customWidth="1"/>
    <col min="3" max="3" width="72.140625" customWidth="1"/>
    <col min="4" max="4" width="34.5703125" customWidth="1"/>
    <col min="5" max="5" width="21.7109375" customWidth="1"/>
    <col min="6" max="6" width="17.140625"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3" t="s">
        <v>1</v>
      </c>
      <c r="B1" s="12"/>
      <c r="C1" s="12"/>
      <c r="D1" s="12"/>
      <c r="E1" s="12"/>
      <c r="F1" s="12"/>
      <c r="G1" s="12"/>
      <c r="H1" s="12"/>
      <c r="I1" s="12"/>
    </row>
    <row r="2" spans="1:9" ht="15.75">
      <c r="A2" s="64" t="s">
        <v>9</v>
      </c>
      <c r="B2" s="12"/>
      <c r="C2" s="12"/>
      <c r="D2" s="12"/>
      <c r="E2" s="12"/>
      <c r="F2" s="12"/>
      <c r="G2" s="12"/>
      <c r="H2" s="12"/>
      <c r="I2" s="12"/>
    </row>
    <row r="3" spans="1:9">
      <c r="A3" s="43" t="s">
        <v>63</v>
      </c>
      <c r="B3" s="12"/>
      <c r="C3" s="12"/>
      <c r="D3" s="12"/>
      <c r="E3" s="12"/>
      <c r="F3" s="12"/>
      <c r="G3" s="12"/>
      <c r="H3" s="12"/>
      <c r="I3" s="12"/>
    </row>
    <row r="4" spans="1:9">
      <c r="A4" s="12"/>
      <c r="B4" s="12"/>
      <c r="C4" s="12"/>
      <c r="D4" s="12"/>
      <c r="E4" s="12"/>
      <c r="F4" s="12"/>
      <c r="G4" s="12"/>
      <c r="H4" s="12"/>
      <c r="I4" s="12"/>
    </row>
    <row r="5" spans="1:9" ht="16.5" thickBot="1">
      <c r="A5" s="64"/>
      <c r="B5" s="12"/>
      <c r="C5" s="12"/>
      <c r="D5" s="12"/>
      <c r="E5" s="12"/>
      <c r="F5" s="12"/>
      <c r="G5" s="12"/>
      <c r="H5" s="12"/>
      <c r="I5" s="12"/>
    </row>
    <row r="6" spans="1:9" ht="18.75" thickBot="1">
      <c r="A6" s="285" t="str">
        <f>+'S&amp;D'!A12</f>
        <v>Liquid Transportation Pipeline Carriers</v>
      </c>
      <c r="B6" s="211"/>
      <c r="C6" s="12"/>
      <c r="D6" s="12"/>
      <c r="E6" s="12"/>
      <c r="F6" s="12"/>
      <c r="G6" s="12"/>
      <c r="H6" s="12"/>
      <c r="I6" s="12"/>
    </row>
    <row r="7" spans="1:9" ht="16.5" thickBot="1">
      <c r="A7" s="64"/>
      <c r="B7" s="12"/>
      <c r="C7" s="28"/>
      <c r="E7" s="12"/>
      <c r="F7" s="12"/>
      <c r="G7" s="12"/>
      <c r="H7" s="12"/>
      <c r="I7" s="12"/>
    </row>
    <row r="8" spans="1:9" ht="20.25">
      <c r="B8" s="12"/>
      <c r="C8" s="31" t="s">
        <v>161</v>
      </c>
      <c r="E8" s="12"/>
      <c r="F8" s="12"/>
      <c r="G8" s="12"/>
      <c r="H8" s="12"/>
      <c r="I8" s="12"/>
    </row>
    <row r="9" spans="1:9" ht="18.75" thickBot="1">
      <c r="A9" s="30"/>
      <c r="B9" s="12"/>
      <c r="C9" s="32" t="s">
        <v>77</v>
      </c>
      <c r="E9" s="12"/>
      <c r="F9" s="12"/>
      <c r="G9" s="12"/>
      <c r="H9" s="12"/>
      <c r="I9" s="12"/>
    </row>
    <row r="10" spans="1:9" ht="18">
      <c r="A10" s="30"/>
      <c r="B10" s="12"/>
      <c r="C10" s="12"/>
      <c r="D10" s="12"/>
      <c r="E10" s="12"/>
      <c r="F10" s="12"/>
      <c r="G10" s="12"/>
      <c r="H10" s="12"/>
      <c r="I10" s="12"/>
    </row>
    <row r="11" spans="1:9" ht="15.75" thickBot="1">
      <c r="A11" s="12"/>
      <c r="B11" s="12"/>
      <c r="C11" s="12"/>
      <c r="D11" s="12"/>
      <c r="E11" s="12"/>
      <c r="F11" s="12"/>
      <c r="G11" s="12"/>
      <c r="H11" s="12"/>
      <c r="I11" s="12"/>
    </row>
    <row r="12" spans="1:9">
      <c r="A12" s="12"/>
      <c r="B12" s="12"/>
      <c r="C12" s="82" t="s">
        <v>0</v>
      </c>
      <c r="D12" s="82" t="s">
        <v>194</v>
      </c>
      <c r="E12" s="12"/>
      <c r="F12" s="12"/>
      <c r="G12" s="12"/>
      <c r="H12" s="12"/>
      <c r="I12" s="12"/>
    </row>
    <row r="13" spans="1:9" ht="18.75" thickBot="1">
      <c r="A13" s="12"/>
      <c r="B13" s="12"/>
      <c r="C13" s="429" t="s">
        <v>160</v>
      </c>
      <c r="D13" s="84" t="s">
        <v>290</v>
      </c>
      <c r="E13" s="12"/>
      <c r="F13" s="12"/>
      <c r="G13" s="12"/>
      <c r="H13" s="12"/>
      <c r="I13" s="12"/>
    </row>
    <row r="14" spans="1:9" ht="15.75">
      <c r="A14" s="12"/>
      <c r="B14" s="12"/>
      <c r="C14" s="446" t="s">
        <v>470</v>
      </c>
      <c r="D14" s="447">
        <f>+CAPM!F16</f>
        <v>8.094599999999999E-2</v>
      </c>
      <c r="E14" s="436"/>
      <c r="F14" s="12"/>
      <c r="G14" s="12"/>
      <c r="H14" s="12"/>
      <c r="I14" s="12"/>
    </row>
    <row r="15" spans="1:9" ht="15.75">
      <c r="A15" s="12"/>
      <c r="B15" s="12"/>
      <c r="C15" s="296" t="s">
        <v>471</v>
      </c>
      <c r="D15" s="448">
        <f>+CAPM!F17</f>
        <v>9.6038999999999985E-2</v>
      </c>
      <c r="E15" s="436"/>
      <c r="F15" s="12"/>
      <c r="G15" s="12"/>
      <c r="H15" s="12"/>
      <c r="I15" s="12"/>
    </row>
    <row r="16" spans="1:9" ht="15.75">
      <c r="A16" s="12"/>
      <c r="B16" s="12"/>
      <c r="C16" s="296" t="s">
        <v>496</v>
      </c>
      <c r="D16" s="448">
        <f>+CAPM!F19</f>
        <v>0.110898</v>
      </c>
      <c r="E16" s="436"/>
      <c r="F16" s="12"/>
      <c r="G16" s="12"/>
      <c r="H16" s="12"/>
      <c r="I16" s="12"/>
    </row>
    <row r="17" spans="1:9" ht="15.75">
      <c r="A17" s="12"/>
      <c r="B17" s="12"/>
      <c r="C17" s="296" t="s">
        <v>512</v>
      </c>
      <c r="D17" s="448">
        <f>+CAPM!F20</f>
        <v>0.109845</v>
      </c>
      <c r="E17" s="436"/>
      <c r="F17" s="12"/>
      <c r="G17" s="12"/>
      <c r="H17" s="12"/>
      <c r="I17" s="12"/>
    </row>
    <row r="18" spans="1:9" ht="15.75">
      <c r="A18" s="12"/>
      <c r="B18" s="12"/>
      <c r="C18" s="296" t="s">
        <v>497</v>
      </c>
      <c r="D18" s="448">
        <f>+CAPM!F21</f>
        <v>0.10785600000000001</v>
      </c>
      <c r="E18" s="436"/>
      <c r="F18" s="12"/>
      <c r="G18" s="12"/>
      <c r="H18" s="12"/>
      <c r="I18" s="12"/>
    </row>
    <row r="19" spans="1:9" ht="15.75">
      <c r="A19" s="12"/>
      <c r="B19" s="12"/>
      <c r="C19" s="296" t="s">
        <v>498</v>
      </c>
      <c r="D19" s="448">
        <f>+CAPM!F22</f>
        <v>9.7910999999999998E-2</v>
      </c>
      <c r="E19" s="436"/>
      <c r="F19" s="12"/>
      <c r="G19" s="12"/>
      <c r="H19" s="12"/>
      <c r="I19" s="12"/>
    </row>
    <row r="20" spans="1:9" ht="15.75">
      <c r="A20" s="12"/>
      <c r="B20" s="12"/>
      <c r="C20" s="296" t="s">
        <v>162</v>
      </c>
      <c r="D20" s="448">
        <f>+CAPM!F24</f>
        <v>9.5453999999999983E-2</v>
      </c>
      <c r="E20" s="436"/>
      <c r="F20" s="12"/>
      <c r="G20" s="12"/>
      <c r="H20" s="12"/>
      <c r="I20" s="12"/>
    </row>
    <row r="21" spans="1:9" ht="15.75">
      <c r="A21" s="12"/>
      <c r="B21" s="12"/>
      <c r="C21" s="296" t="s">
        <v>163</v>
      </c>
      <c r="D21" s="448">
        <f>+CAPM!F26</f>
        <v>0.10691999999999999</v>
      </c>
      <c r="E21" s="436"/>
      <c r="F21" s="12"/>
      <c r="G21" s="12"/>
      <c r="H21" s="12"/>
      <c r="I21" s="12"/>
    </row>
    <row r="22" spans="1:9" ht="17.25">
      <c r="A22" s="12"/>
      <c r="B22" s="12"/>
      <c r="C22" s="296" t="s">
        <v>164</v>
      </c>
      <c r="D22" s="448">
        <f>+CAPM!F28</f>
        <v>0.11487599999999998</v>
      </c>
      <c r="E22" s="485"/>
      <c r="G22" s="12"/>
      <c r="H22" s="12"/>
      <c r="I22" s="12"/>
    </row>
    <row r="23" spans="1:9" ht="17.25">
      <c r="A23" s="12"/>
      <c r="B23" s="12"/>
      <c r="C23" s="296" t="s">
        <v>165</v>
      </c>
      <c r="D23" s="448">
        <f>+CAPM!F29</f>
        <v>0.10001699999999999</v>
      </c>
      <c r="E23" s="485"/>
      <c r="G23" s="12"/>
      <c r="H23" s="12"/>
      <c r="I23" s="12"/>
    </row>
    <row r="24" spans="1:9" ht="17.25">
      <c r="A24" s="12"/>
      <c r="B24" s="12"/>
      <c r="C24" s="297" t="s">
        <v>499</v>
      </c>
      <c r="D24" s="448">
        <f>+CAPM!F31</f>
        <v>0.12528899999999998</v>
      </c>
      <c r="E24" s="485"/>
      <c r="G24" s="12"/>
      <c r="H24" s="12"/>
      <c r="I24" s="12"/>
    </row>
    <row r="25" spans="1:9" ht="15.75">
      <c r="A25" s="12"/>
      <c r="B25" s="12"/>
      <c r="C25" s="297" t="s">
        <v>500</v>
      </c>
      <c r="D25" s="448">
        <f>+CAPM!F32</f>
        <v>0.11569499999999999</v>
      </c>
      <c r="E25" s="449"/>
      <c r="F25" s="12"/>
      <c r="G25" s="12"/>
      <c r="H25" s="12"/>
      <c r="I25" s="12"/>
    </row>
    <row r="26" spans="1:9" ht="15.75">
      <c r="A26" s="12"/>
      <c r="B26" s="12"/>
      <c r="C26" s="297" t="s">
        <v>501</v>
      </c>
      <c r="D26" s="448">
        <f>+CAPM!F33</f>
        <v>0.1116</v>
      </c>
      <c r="E26" s="449"/>
      <c r="F26" s="12"/>
      <c r="G26" s="12"/>
      <c r="H26" s="12"/>
      <c r="I26" s="12"/>
    </row>
    <row r="27" spans="1:9" ht="15.75">
      <c r="A27" s="12"/>
      <c r="B27" s="12"/>
      <c r="C27" s="297" t="s">
        <v>488</v>
      </c>
      <c r="D27" s="448">
        <f>+CAPM!F35</f>
        <v>0.1116</v>
      </c>
      <c r="E27" s="449"/>
      <c r="F27" s="12"/>
      <c r="G27" s="12"/>
      <c r="H27" s="12"/>
      <c r="I27" s="12"/>
    </row>
    <row r="28" spans="1:9" ht="15.75">
      <c r="A28" s="12"/>
      <c r="B28" s="12"/>
      <c r="C28" s="296" t="s">
        <v>468</v>
      </c>
      <c r="D28" s="448">
        <f>+CAPM!G42</f>
        <v>7.9509499999999983E-2</v>
      </c>
      <c r="E28" s="436"/>
      <c r="F28" s="12"/>
      <c r="G28" s="12"/>
      <c r="H28" s="12"/>
      <c r="I28" s="12"/>
    </row>
    <row r="29" spans="1:9" ht="15.75">
      <c r="A29" s="12"/>
      <c r="B29" s="12"/>
      <c r="C29" s="296" t="s">
        <v>469</v>
      </c>
      <c r="D29" s="448">
        <f>+CAPM!G43</f>
        <v>9.4054249999999992E-2</v>
      </c>
      <c r="E29" s="436"/>
      <c r="F29" s="12"/>
      <c r="G29" s="12"/>
      <c r="H29" s="12"/>
      <c r="I29" s="12"/>
    </row>
    <row r="30" spans="1:9" ht="15.75">
      <c r="A30" s="12"/>
      <c r="B30" s="12"/>
      <c r="C30" s="296" t="s">
        <v>502</v>
      </c>
      <c r="D30" s="448">
        <f>+CAPM!G45</f>
        <v>0.10837350000000001</v>
      </c>
      <c r="E30" s="436"/>
      <c r="F30" s="12"/>
      <c r="G30" s="12"/>
      <c r="H30" s="12"/>
      <c r="I30" s="12"/>
    </row>
    <row r="31" spans="1:9" ht="15.75">
      <c r="A31" s="12"/>
      <c r="B31" s="12"/>
      <c r="C31" s="296" t="s">
        <v>513</v>
      </c>
      <c r="D31" s="448">
        <f>+CAPM!G46</f>
        <v>0.10735875</v>
      </c>
      <c r="E31" s="436"/>
      <c r="F31" s="12"/>
      <c r="G31" s="12"/>
      <c r="H31" s="12"/>
      <c r="I31" s="12"/>
    </row>
    <row r="32" spans="1:9" ht="15.75">
      <c r="A32" s="12"/>
      <c r="B32" s="12"/>
      <c r="C32" s="296" t="s">
        <v>503</v>
      </c>
      <c r="D32" s="448">
        <f>+CAPM!G47</f>
        <v>0.10544200000000001</v>
      </c>
      <c r="E32" s="436"/>
      <c r="F32" s="12"/>
      <c r="G32" s="12"/>
      <c r="H32" s="12"/>
      <c r="I32" s="12"/>
    </row>
    <row r="33" spans="1:9" ht="15.75">
      <c r="A33" s="12"/>
      <c r="B33" s="12"/>
      <c r="C33" s="296" t="s">
        <v>504</v>
      </c>
      <c r="D33" s="448">
        <f>+CAPM!G48</f>
        <v>9.5858250000000006E-2</v>
      </c>
      <c r="E33" s="436"/>
      <c r="F33" s="12"/>
      <c r="G33" s="12"/>
      <c r="H33" s="12"/>
      <c r="I33" s="12"/>
    </row>
    <row r="34" spans="1:9" ht="15.75">
      <c r="A34" s="12"/>
      <c r="B34" s="12"/>
      <c r="C34" s="296" t="s">
        <v>166</v>
      </c>
      <c r="D34" s="448">
        <f>+CAPM!G50</f>
        <v>9.349049999999999E-2</v>
      </c>
      <c r="E34" s="436"/>
      <c r="F34" s="12"/>
      <c r="G34" s="12"/>
      <c r="H34" s="12"/>
      <c r="I34" s="12"/>
    </row>
    <row r="35" spans="1:9" ht="15.75">
      <c r="A35" s="12"/>
      <c r="B35" s="12"/>
      <c r="C35" s="296" t="s">
        <v>167</v>
      </c>
      <c r="D35" s="448">
        <f>+CAPM!G52</f>
        <v>0.10453999999999999</v>
      </c>
      <c r="E35" s="436"/>
      <c r="F35" s="12"/>
      <c r="G35" s="12"/>
      <c r="H35" s="12"/>
      <c r="I35" s="12"/>
    </row>
    <row r="36" spans="1:9" ht="15.75">
      <c r="A36" s="12"/>
      <c r="B36" s="12"/>
      <c r="C36" s="297" t="s">
        <v>168</v>
      </c>
      <c r="D36" s="448">
        <f>+CAPM!G54</f>
        <v>0.11220699999999997</v>
      </c>
      <c r="E36" s="436"/>
      <c r="F36" s="12"/>
      <c r="G36" s="12"/>
      <c r="H36" s="12"/>
      <c r="I36" s="12"/>
    </row>
    <row r="37" spans="1:9" ht="15.75">
      <c r="A37" s="12"/>
      <c r="B37" s="12"/>
      <c r="C37" s="296" t="s">
        <v>169</v>
      </c>
      <c r="D37" s="464">
        <f>+CAPM!G55</f>
        <v>9.7887749999999996E-2</v>
      </c>
      <c r="E37" s="436"/>
      <c r="F37" s="12"/>
      <c r="G37" s="12"/>
      <c r="H37" s="12"/>
      <c r="I37" s="12"/>
    </row>
    <row r="38" spans="1:9" ht="16.5" customHeight="1">
      <c r="A38" s="12"/>
      <c r="B38" s="12"/>
      <c r="C38" s="297" t="s">
        <v>505</v>
      </c>
      <c r="D38" s="464">
        <f>+CAPM!G57</f>
        <v>0.12224174999999998</v>
      </c>
      <c r="E38" s="436" t="s">
        <v>0</v>
      </c>
      <c r="F38" s="12"/>
      <c r="G38" s="12"/>
      <c r="H38" s="12"/>
      <c r="I38" s="12"/>
    </row>
    <row r="39" spans="1:9" ht="16.5" customHeight="1">
      <c r="A39" s="12"/>
      <c r="B39" s="12"/>
      <c r="C39" s="297" t="s">
        <v>506</v>
      </c>
      <c r="D39" s="464">
        <f>+CAPM!G58</f>
        <v>0.11299624999999999</v>
      </c>
      <c r="E39" s="436"/>
      <c r="F39" s="12"/>
      <c r="G39" s="12"/>
      <c r="H39" s="12"/>
      <c r="I39" s="12"/>
    </row>
    <row r="40" spans="1:9" ht="18.75" customHeight="1">
      <c r="A40" s="12"/>
      <c r="B40" s="12"/>
      <c r="C40" s="297" t="s">
        <v>507</v>
      </c>
      <c r="D40" s="464">
        <f>+CAPM!G57</f>
        <v>0.12224174999999998</v>
      </c>
      <c r="E40" s="450"/>
      <c r="F40" s="12"/>
      <c r="G40" s="12"/>
      <c r="H40" s="12"/>
      <c r="I40" s="12"/>
    </row>
    <row r="41" spans="1:9" ht="18.75" customHeight="1">
      <c r="A41" s="12"/>
      <c r="B41" s="12"/>
      <c r="C41" s="466" t="s">
        <v>489</v>
      </c>
      <c r="D41" s="465">
        <f>+CAPM!G61</f>
        <v>0.10905000000000001</v>
      </c>
      <c r="E41" s="450"/>
      <c r="F41" s="12"/>
      <c r="G41" s="12"/>
      <c r="H41" s="12"/>
      <c r="I41" s="12"/>
    </row>
    <row r="42" spans="1:9" ht="21.75" customHeight="1">
      <c r="A42" s="12"/>
      <c r="B42" s="12"/>
      <c r="C42" s="467" t="s">
        <v>243</v>
      </c>
      <c r="D42" s="229">
        <f>+'Single Stage Div Growth Model'!I33</f>
        <v>0.1565</v>
      </c>
      <c r="G42" s="12"/>
      <c r="H42" s="12"/>
      <c r="I42" s="12"/>
    </row>
    <row r="43" spans="1:9" ht="21.75" customHeight="1">
      <c r="A43" s="12"/>
      <c r="B43" s="12"/>
      <c r="C43" s="298" t="s">
        <v>242</v>
      </c>
      <c r="D43" s="229">
        <f>+'Single Stage Div Growth Model'!I35</f>
        <v>0.15049999999999999</v>
      </c>
      <c r="G43" s="12"/>
      <c r="H43" s="12"/>
      <c r="I43" s="12"/>
    </row>
    <row r="44" spans="1:9" ht="21.75" customHeight="1">
      <c r="A44" s="12"/>
      <c r="B44" s="12"/>
      <c r="C44" s="451" t="s">
        <v>244</v>
      </c>
      <c r="D44" s="452">
        <f>+'Two-Stage Div Growth Model'!H37</f>
        <v>0.14430000000000001</v>
      </c>
      <c r="G44" s="85" t="s">
        <v>0</v>
      </c>
      <c r="H44" s="12"/>
      <c r="I44" s="12"/>
    </row>
    <row r="45" spans="1:9" ht="21.75" customHeight="1">
      <c r="A45" s="12"/>
      <c r="B45" s="12"/>
      <c r="C45" s="427" t="s">
        <v>372</v>
      </c>
      <c r="D45" s="428">
        <f>+'Direct NOPAT'!G65</f>
        <v>0.1477</v>
      </c>
      <c r="G45" s="12"/>
      <c r="H45" s="12"/>
      <c r="I45" s="12"/>
    </row>
    <row r="46" spans="1:9" ht="15.75" thickBot="1">
      <c r="A46" s="12"/>
      <c r="B46" s="12"/>
      <c r="C46" s="12"/>
      <c r="D46" s="72"/>
      <c r="E46" s="12"/>
      <c r="F46" s="12"/>
      <c r="G46" s="12"/>
      <c r="H46" s="12"/>
      <c r="I46" s="12"/>
    </row>
    <row r="47" spans="1:9" ht="15.75" thickTop="1">
      <c r="A47" s="12"/>
      <c r="B47" s="12"/>
      <c r="C47" s="14" t="s">
        <v>46</v>
      </c>
      <c r="D47" s="52">
        <v>0.1565</v>
      </c>
      <c r="E47" s="158"/>
      <c r="F47" s="12"/>
      <c r="G47" s="12"/>
      <c r="H47" s="12"/>
      <c r="I47" s="12"/>
    </row>
    <row r="48" spans="1:9">
      <c r="A48" s="12"/>
      <c r="B48" s="12"/>
      <c r="C48" s="14" t="s">
        <v>47</v>
      </c>
      <c r="D48" s="384">
        <v>8.1500000000000003E-2</v>
      </c>
      <c r="E48" s="12"/>
      <c r="F48" s="12"/>
      <c r="G48" s="52"/>
      <c r="H48" s="52"/>
      <c r="I48" s="52"/>
    </row>
    <row r="49" spans="1:9">
      <c r="A49" s="12"/>
      <c r="B49" s="12"/>
      <c r="C49" s="14" t="s">
        <v>18</v>
      </c>
      <c r="D49" s="85">
        <f>MEDIAN(D14:D44)</f>
        <v>0.10837350000000001</v>
      </c>
      <c r="E49" s="85"/>
      <c r="F49" s="85"/>
      <c r="G49" s="85"/>
      <c r="H49" s="85"/>
      <c r="I49" s="85"/>
    </row>
    <row r="50" spans="1:9">
      <c r="A50" s="12"/>
      <c r="B50" s="12"/>
      <c r="C50" s="14" t="s">
        <v>473</v>
      </c>
      <c r="D50" s="86">
        <f>AVERAGE(D14:D44)</f>
        <v>0.10972571774193549</v>
      </c>
      <c r="E50" s="86"/>
      <c r="F50" s="86"/>
      <c r="G50" s="86"/>
      <c r="H50" s="86"/>
      <c r="I50" s="86"/>
    </row>
    <row r="51" spans="1:9">
      <c r="A51" s="12"/>
      <c r="B51" s="12"/>
      <c r="C51" s="14" t="s">
        <v>474</v>
      </c>
      <c r="D51" s="86">
        <f>HARMEAN(D14:D44)</f>
        <v>0.1073209703974727</v>
      </c>
      <c r="E51" s="12"/>
      <c r="F51" s="12"/>
      <c r="G51" s="12"/>
      <c r="H51" s="12"/>
      <c r="I51" s="12"/>
    </row>
    <row r="52" spans="1:9" ht="15.75" thickBot="1">
      <c r="A52" s="12"/>
      <c r="B52" s="12"/>
      <c r="C52" s="12"/>
      <c r="D52" s="12"/>
      <c r="E52" s="12"/>
      <c r="F52" s="12"/>
      <c r="G52" s="12"/>
      <c r="H52" s="12"/>
      <c r="I52" s="12"/>
    </row>
    <row r="53" spans="1:9" ht="21" thickBot="1">
      <c r="A53" s="12"/>
      <c r="B53" s="12"/>
      <c r="C53" s="219" t="s">
        <v>252</v>
      </c>
      <c r="D53" s="472">
        <v>0.10970000000000001</v>
      </c>
      <c r="E53" s="87"/>
      <c r="F53" s="87"/>
    </row>
    <row r="54" spans="1:9" ht="15.75">
      <c r="A54" s="110" t="s">
        <v>0</v>
      </c>
      <c r="B54" s="12"/>
      <c r="C54" s="12"/>
      <c r="D54" s="12"/>
      <c r="E54" s="12"/>
      <c r="F54" s="12"/>
      <c r="G54" s="12"/>
      <c r="H54" s="12"/>
      <c r="I54" s="12"/>
    </row>
    <row r="55" spans="1:9" ht="15.75">
      <c r="A55" s="110" t="s">
        <v>0</v>
      </c>
      <c r="B55" s="12"/>
      <c r="C55" s="12"/>
      <c r="D55" s="12"/>
      <c r="E55" s="12"/>
      <c r="F55" s="12"/>
      <c r="G55" s="12"/>
      <c r="H55" s="12"/>
      <c r="I55" s="12"/>
    </row>
    <row r="56" spans="1:9">
      <c r="A56" s="12"/>
      <c r="B56" s="12"/>
      <c r="C56" s="12"/>
      <c r="D56" s="12"/>
      <c r="E56" s="12"/>
      <c r="F56" s="12"/>
      <c r="G56" s="12"/>
      <c r="H56" s="12"/>
      <c r="I56" s="12"/>
    </row>
    <row r="57" spans="1:9">
      <c r="A57" s="12"/>
      <c r="B57" s="12"/>
      <c r="C57" s="12"/>
      <c r="D57" s="12"/>
      <c r="E57" s="12"/>
      <c r="F57" s="12"/>
      <c r="G57" s="12"/>
      <c r="H57" s="12"/>
      <c r="I57" s="12"/>
    </row>
    <row r="58" spans="1:9">
      <c r="A58" s="12"/>
      <c r="B58" s="12"/>
      <c r="C58" s="12"/>
      <c r="D58" s="12"/>
      <c r="E58" s="12"/>
      <c r="F58" s="12"/>
      <c r="G58" s="12"/>
      <c r="H58" s="12"/>
      <c r="I58" s="12"/>
    </row>
    <row r="59" spans="1:9">
      <c r="A59" s="12"/>
      <c r="B59" s="12"/>
      <c r="C59" s="12"/>
      <c r="D59" s="12"/>
      <c r="E59" s="12"/>
      <c r="F59" s="12"/>
      <c r="G59" s="12"/>
      <c r="H59" s="12"/>
      <c r="I59" s="12"/>
    </row>
    <row r="60" spans="1:9">
      <c r="A60" s="12"/>
      <c r="B60" s="12"/>
      <c r="C60" s="12"/>
      <c r="D60" s="12" t="s">
        <v>0</v>
      </c>
      <c r="E60" s="12"/>
      <c r="F60" s="12"/>
      <c r="G60" s="12"/>
      <c r="H60" s="12"/>
      <c r="I60" s="12"/>
    </row>
    <row r="61" spans="1:9">
      <c r="A61" s="12"/>
      <c r="B61" s="12"/>
      <c r="C61" s="12"/>
      <c r="D61" s="12" t="s">
        <v>0</v>
      </c>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c r="E64" s="12"/>
      <c r="F64" s="12"/>
      <c r="G64" s="12"/>
      <c r="H64" s="12"/>
      <c r="I64" s="12"/>
    </row>
    <row r="65" spans="1:9">
      <c r="A65" s="12"/>
      <c r="B65" s="12"/>
      <c r="C65" s="12"/>
      <c r="D65" s="12"/>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sheetData>
  <pageMargins left="0.25" right="0.25" top="0.75" bottom="0.75" header="0.3" footer="0.3"/>
  <pageSetup scale="4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84C78-2832-4744-9CC1-C220D4428439}">
  <sheetPr>
    <tabColor rgb="FF92D050"/>
    <pageSetUpPr fitToPage="1"/>
  </sheetPr>
  <dimension ref="A1:J85"/>
  <sheetViews>
    <sheetView view="pageBreakPreview" zoomScale="60" zoomScaleNormal="80" workbookViewId="0">
      <selection activeCell="B17" sqref="B17"/>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3" t="s">
        <v>1</v>
      </c>
      <c r="B1" s="23"/>
      <c r="C1" s="23"/>
      <c r="D1" s="12"/>
      <c r="E1" s="12"/>
      <c r="F1" s="12"/>
      <c r="G1" s="12"/>
      <c r="H1" s="12"/>
      <c r="I1" s="12"/>
      <c r="J1" s="12"/>
    </row>
    <row r="2" spans="1:10" ht="15.75">
      <c r="A2" s="24" t="s">
        <v>9</v>
      </c>
      <c r="B2" s="24"/>
      <c r="C2" s="24"/>
      <c r="D2" s="12"/>
      <c r="E2" s="12"/>
      <c r="F2" s="12"/>
      <c r="G2" s="12"/>
      <c r="H2" s="12"/>
      <c r="I2" s="12"/>
      <c r="J2" s="12"/>
    </row>
    <row r="3" spans="1:10">
      <c r="A3" s="25" t="s">
        <v>63</v>
      </c>
      <c r="B3" s="25"/>
      <c r="C3" s="25"/>
      <c r="D3" s="12"/>
      <c r="E3" s="12"/>
      <c r="F3" s="12"/>
      <c r="G3" s="12"/>
      <c r="H3" s="12"/>
      <c r="I3" s="12"/>
      <c r="J3" s="12"/>
    </row>
    <row r="4" spans="1:10">
      <c r="A4" s="25"/>
      <c r="B4" s="25"/>
      <c r="C4" s="25"/>
      <c r="D4" s="12"/>
      <c r="E4" s="12"/>
      <c r="F4" s="12"/>
      <c r="G4" s="12"/>
      <c r="H4" s="12"/>
      <c r="I4" s="12"/>
      <c r="J4" s="12"/>
    </row>
    <row r="5" spans="1:10" ht="15.75" thickBot="1">
      <c r="A5" s="12"/>
      <c r="B5" s="12"/>
      <c r="C5" s="12"/>
      <c r="D5" s="12"/>
      <c r="E5" s="12"/>
      <c r="F5" s="12"/>
      <c r="G5" s="12"/>
      <c r="H5" s="26" t="s">
        <v>0</v>
      </c>
      <c r="I5" s="26"/>
      <c r="J5" s="12"/>
    </row>
    <row r="6" spans="1:10" ht="18.75" thickBot="1">
      <c r="A6" s="27" t="str">
        <f>+'S&amp;D'!A12</f>
        <v>Liquid Transportation Pipeline Carriers</v>
      </c>
      <c r="B6" s="12"/>
      <c r="C6" s="12"/>
      <c r="D6" s="28"/>
      <c r="E6" s="28"/>
      <c r="F6" s="28"/>
      <c r="G6" s="12"/>
      <c r="H6" s="12"/>
      <c r="I6" s="12"/>
      <c r="J6" s="12"/>
    </row>
    <row r="7" spans="1:10" ht="20.25">
      <c r="B7" s="30"/>
      <c r="C7" s="30"/>
      <c r="D7" s="12"/>
      <c r="E7" s="31" t="s">
        <v>213</v>
      </c>
      <c r="F7" s="12"/>
      <c r="G7" s="12"/>
      <c r="H7" s="12"/>
      <c r="I7" s="12"/>
      <c r="J7" s="12"/>
    </row>
    <row r="8" spans="1:10" ht="18.75" thickBot="1">
      <c r="A8" s="30"/>
      <c r="B8" s="30"/>
      <c r="C8" s="30"/>
      <c r="D8" s="28"/>
      <c r="E8" s="36" t="s">
        <v>77</v>
      </c>
      <c r="F8" s="28"/>
      <c r="G8" s="12"/>
      <c r="H8" s="12"/>
      <c r="I8" s="12"/>
      <c r="J8" s="12"/>
    </row>
    <row r="9" spans="1:10" ht="18">
      <c r="A9" s="30"/>
      <c r="B9" s="30"/>
      <c r="C9" s="30"/>
      <c r="D9" s="12"/>
      <c r="E9" s="34"/>
      <c r="F9" s="12"/>
      <c r="G9" s="12"/>
      <c r="H9" s="12"/>
      <c r="I9" s="12"/>
      <c r="J9" s="12"/>
    </row>
    <row r="10" spans="1:10" ht="18">
      <c r="A10" s="30"/>
      <c r="B10" s="30"/>
      <c r="H10" s="12"/>
      <c r="I10" s="12"/>
      <c r="J10" s="12"/>
    </row>
    <row r="11" spans="1:10" ht="18">
      <c r="A11" s="30"/>
      <c r="B11" s="30"/>
      <c r="H11" s="12"/>
      <c r="I11" s="12"/>
      <c r="J11" s="12"/>
    </row>
    <row r="12" spans="1:10" ht="30" customHeight="1" thickBot="1">
      <c r="A12" s="30"/>
      <c r="B12" s="30"/>
      <c r="C12" t="s">
        <v>0</v>
      </c>
      <c r="H12" s="12"/>
      <c r="I12" s="12"/>
      <c r="J12" s="12"/>
    </row>
    <row r="13" spans="1:10" ht="26.25" customHeight="1" thickBot="1">
      <c r="A13" s="171" t="s">
        <v>230</v>
      </c>
      <c r="B13" s="12" t="s">
        <v>0</v>
      </c>
      <c r="C13" s="12"/>
      <c r="D13" s="12"/>
      <c r="E13" s="12"/>
      <c r="F13" s="12"/>
      <c r="G13" s="12"/>
      <c r="H13" s="12"/>
      <c r="I13" s="12"/>
      <c r="J13" s="12"/>
    </row>
    <row r="14" spans="1:10" ht="42" customHeight="1" thickBot="1">
      <c r="A14" s="170" t="s">
        <v>228</v>
      </c>
      <c r="B14" s="169" t="s">
        <v>219</v>
      </c>
      <c r="C14" s="168" t="s">
        <v>231</v>
      </c>
      <c r="D14" s="169" t="s">
        <v>221</v>
      </c>
      <c r="E14" s="169" t="s">
        <v>464</v>
      </c>
      <c r="F14" s="167" t="s">
        <v>220</v>
      </c>
      <c r="G14" s="12"/>
      <c r="H14" s="12"/>
      <c r="I14" s="12"/>
      <c r="J14" s="12"/>
    </row>
    <row r="15" spans="1:10">
      <c r="A15" s="164"/>
      <c r="B15" s="116"/>
      <c r="C15" s="116"/>
      <c r="D15" s="116"/>
      <c r="E15" s="116"/>
      <c r="F15" s="165"/>
      <c r="G15" s="12"/>
      <c r="H15" s="12"/>
      <c r="I15" s="12"/>
      <c r="J15" s="12"/>
    </row>
    <row r="16" spans="1:10" ht="15.75">
      <c r="A16" s="212" t="s">
        <v>466</v>
      </c>
      <c r="B16" s="225">
        <v>3.3799999999999997E-2</v>
      </c>
      <c r="C16" s="222">
        <f>+'Beta for CAPM'!I33</f>
        <v>1.17</v>
      </c>
      <c r="D16" s="213">
        <f>+B16*C16</f>
        <v>3.9545999999999991E-2</v>
      </c>
      <c r="E16" s="213">
        <v>4.1399999999999999E-2</v>
      </c>
      <c r="F16" s="214">
        <f>+D16+E16</f>
        <v>8.094599999999999E-2</v>
      </c>
      <c r="G16" s="12"/>
      <c r="H16" s="12"/>
      <c r="I16" s="12"/>
      <c r="J16" s="12"/>
    </row>
    <row r="17" spans="1:10" ht="15.75">
      <c r="A17" s="212" t="s">
        <v>467</v>
      </c>
      <c r="B17" s="225">
        <v>4.6699999999999998E-2</v>
      </c>
      <c r="C17" s="222">
        <f>+C16</f>
        <v>1.17</v>
      </c>
      <c r="D17" s="213">
        <f>+B17*C17</f>
        <v>5.4638999999999993E-2</v>
      </c>
      <c r="E17" s="213">
        <f>+E16</f>
        <v>4.1399999999999999E-2</v>
      </c>
      <c r="F17" s="214">
        <f>+D17+E17</f>
        <v>9.6038999999999985E-2</v>
      </c>
      <c r="G17" s="12"/>
      <c r="H17" s="12"/>
      <c r="I17" s="12"/>
      <c r="J17" s="12"/>
    </row>
    <row r="18" spans="1:10" ht="15.75">
      <c r="A18" s="215"/>
      <c r="B18" s="110"/>
      <c r="C18" s="110"/>
      <c r="D18" s="110"/>
      <c r="E18" s="110"/>
      <c r="F18" s="216"/>
      <c r="G18" s="12"/>
      <c r="H18" s="12"/>
      <c r="I18" s="12"/>
      <c r="J18" s="12"/>
    </row>
    <row r="19" spans="1:10" ht="15.75">
      <c r="A19" s="212" t="s">
        <v>490</v>
      </c>
      <c r="B19" s="225">
        <v>5.9400000000000001E-2</v>
      </c>
      <c r="C19" s="222">
        <f>+C16</f>
        <v>1.17</v>
      </c>
      <c r="D19" s="213">
        <f>+B19*C19</f>
        <v>6.9498000000000004E-2</v>
      </c>
      <c r="E19" s="213">
        <f>+E16</f>
        <v>4.1399999999999999E-2</v>
      </c>
      <c r="F19" s="214">
        <f>+D19+E19</f>
        <v>0.110898</v>
      </c>
      <c r="G19" s="12"/>
      <c r="H19" s="12"/>
      <c r="I19" s="12"/>
      <c r="J19" s="12"/>
    </row>
    <row r="20" spans="1:10" ht="15.75">
      <c r="A20" s="212" t="s">
        <v>508</v>
      </c>
      <c r="B20" s="225">
        <v>5.8500000000000003E-2</v>
      </c>
      <c r="C20" s="222">
        <f>+C16</f>
        <v>1.17</v>
      </c>
      <c r="D20" s="213">
        <f>+B20*C20</f>
        <v>6.8445000000000006E-2</v>
      </c>
      <c r="E20" s="213">
        <f>+E17</f>
        <v>4.1399999999999999E-2</v>
      </c>
      <c r="F20" s="214">
        <f>+D20+E20</f>
        <v>0.109845</v>
      </c>
      <c r="G20" s="12"/>
      <c r="H20" s="12"/>
      <c r="I20" s="12"/>
      <c r="J20" s="12"/>
    </row>
    <row r="21" spans="1:10" ht="15.75">
      <c r="A21" s="212" t="s">
        <v>491</v>
      </c>
      <c r="B21" s="225">
        <v>5.6800000000000003E-2</v>
      </c>
      <c r="C21" s="222">
        <f>+C16</f>
        <v>1.17</v>
      </c>
      <c r="D21" s="213">
        <f t="shared" ref="D21:D22" si="0">+B21*C21</f>
        <v>6.6456000000000001E-2</v>
      </c>
      <c r="E21" s="213">
        <f>+E16</f>
        <v>4.1399999999999999E-2</v>
      </c>
      <c r="F21" s="214">
        <f t="shared" ref="F21:F22" si="1">+D21+E21</f>
        <v>0.10785600000000001</v>
      </c>
      <c r="G21" s="12"/>
      <c r="H21" s="12"/>
      <c r="I21" s="12"/>
      <c r="J21" s="12"/>
    </row>
    <row r="22" spans="1:10" ht="15.75">
      <c r="A22" s="212" t="s">
        <v>492</v>
      </c>
      <c r="B22" s="225">
        <v>4.8300000000000003E-2</v>
      </c>
      <c r="C22" s="222">
        <f>+C16</f>
        <v>1.17</v>
      </c>
      <c r="D22" s="213">
        <f t="shared" si="0"/>
        <v>5.6510999999999999E-2</v>
      </c>
      <c r="E22" s="213">
        <f>+E16</f>
        <v>4.1399999999999999E-2</v>
      </c>
      <c r="F22" s="214">
        <f t="shared" si="1"/>
        <v>9.7910999999999998E-2</v>
      </c>
      <c r="G22" s="12"/>
      <c r="H22" s="12"/>
      <c r="I22" s="12"/>
      <c r="J22" s="12"/>
    </row>
    <row r="23" spans="1:10" ht="15.75">
      <c r="A23" s="212" t="s">
        <v>0</v>
      </c>
      <c r="B23" s="225" t="s">
        <v>0</v>
      </c>
      <c r="C23" s="223" t="s">
        <v>0</v>
      </c>
      <c r="D23" s="213" t="s">
        <v>0</v>
      </c>
      <c r="E23" s="213" t="s">
        <v>0</v>
      </c>
      <c r="F23" s="214" t="s">
        <v>0</v>
      </c>
      <c r="G23" s="12"/>
      <c r="H23" s="12"/>
      <c r="I23" s="12"/>
      <c r="J23" s="12"/>
    </row>
    <row r="24" spans="1:10" ht="15.75">
      <c r="A24" s="212" t="s">
        <v>224</v>
      </c>
      <c r="B24" s="225">
        <v>4.6199999999999998E-2</v>
      </c>
      <c r="C24" s="222">
        <f>+C16</f>
        <v>1.17</v>
      </c>
      <c r="D24" s="213">
        <f>+B24*C24</f>
        <v>5.4053999999999991E-2</v>
      </c>
      <c r="E24" s="213">
        <f>+E16</f>
        <v>4.1399999999999999E-2</v>
      </c>
      <c r="F24" s="214">
        <f>+D24+E24</f>
        <v>9.5453999999999983E-2</v>
      </c>
      <c r="G24" s="12"/>
      <c r="H24" s="12"/>
      <c r="I24" s="12"/>
      <c r="J24" s="12"/>
    </row>
    <row r="25" spans="1:10" ht="15.75">
      <c r="A25" s="212" t="s">
        <v>0</v>
      </c>
      <c r="B25" s="225" t="s">
        <v>0</v>
      </c>
      <c r="C25" s="223" t="s">
        <v>0</v>
      </c>
      <c r="D25" s="213" t="s">
        <v>0</v>
      </c>
      <c r="E25" s="213" t="s">
        <v>0</v>
      </c>
      <c r="F25" s="214" t="s">
        <v>0</v>
      </c>
      <c r="G25" s="12"/>
      <c r="H25" s="12"/>
      <c r="I25" s="12"/>
      <c r="J25" s="12"/>
    </row>
    <row r="26" spans="1:10" ht="15.75">
      <c r="A26" s="212" t="s">
        <v>509</v>
      </c>
      <c r="B26" s="225">
        <v>5.6000000000000001E-2</v>
      </c>
      <c r="C26" s="222">
        <f>+C16</f>
        <v>1.17</v>
      </c>
      <c r="D26" s="213">
        <f>+B26*C26</f>
        <v>6.5519999999999995E-2</v>
      </c>
      <c r="E26" s="213">
        <f>+E16</f>
        <v>4.1399999999999999E-2</v>
      </c>
      <c r="F26" s="214">
        <f>+D26+E26</f>
        <v>0.10691999999999999</v>
      </c>
      <c r="G26" s="12"/>
      <c r="H26" s="12"/>
      <c r="I26" s="12"/>
      <c r="J26" s="12"/>
    </row>
    <row r="27" spans="1:10" ht="15.75">
      <c r="A27" s="212" t="s">
        <v>0</v>
      </c>
      <c r="B27" s="225" t="s">
        <v>0</v>
      </c>
      <c r="C27" s="223" t="s">
        <v>0</v>
      </c>
      <c r="D27" s="213" t="s">
        <v>0</v>
      </c>
      <c r="E27" s="213" t="s">
        <v>0</v>
      </c>
      <c r="F27" s="214" t="s">
        <v>0</v>
      </c>
      <c r="G27" s="12"/>
      <c r="H27" s="12"/>
      <c r="I27" s="12"/>
      <c r="J27" s="12"/>
    </row>
    <row r="28" spans="1:10" ht="15.75">
      <c r="A28" s="212" t="s">
        <v>225</v>
      </c>
      <c r="B28" s="225">
        <v>6.2799999999999995E-2</v>
      </c>
      <c r="C28" s="222">
        <f>+C16</f>
        <v>1.17</v>
      </c>
      <c r="D28" s="213">
        <f>+B28*C28</f>
        <v>7.3475999999999986E-2</v>
      </c>
      <c r="E28" s="213">
        <f>+E16</f>
        <v>4.1399999999999999E-2</v>
      </c>
      <c r="F28" s="214">
        <f>+D28+E28</f>
        <v>0.11487599999999998</v>
      </c>
      <c r="G28" s="12"/>
      <c r="H28" s="12"/>
      <c r="I28" s="12"/>
      <c r="J28" s="12"/>
    </row>
    <row r="29" spans="1:10" ht="15.75">
      <c r="A29" s="212" t="s">
        <v>226</v>
      </c>
      <c r="B29" s="225">
        <v>5.0099999999999999E-2</v>
      </c>
      <c r="C29" s="222">
        <f>+C16</f>
        <v>1.17</v>
      </c>
      <c r="D29" s="213">
        <f>+B29*C29</f>
        <v>5.8616999999999995E-2</v>
      </c>
      <c r="E29" s="213">
        <f>+E16</f>
        <v>4.1399999999999999E-2</v>
      </c>
      <c r="F29" s="214">
        <f>+D29+E29</f>
        <v>0.10001699999999999</v>
      </c>
      <c r="G29" s="12"/>
      <c r="H29" s="12"/>
      <c r="I29" s="12"/>
      <c r="J29" s="12"/>
    </row>
    <row r="30" spans="1:10" ht="15.75">
      <c r="A30" s="212"/>
      <c r="B30" s="225"/>
      <c r="C30" s="222"/>
      <c r="D30" s="213"/>
      <c r="E30" s="213"/>
      <c r="F30" s="214"/>
      <c r="G30" s="12"/>
      <c r="H30" s="12"/>
      <c r="I30" s="12"/>
      <c r="J30" s="12"/>
    </row>
    <row r="31" spans="1:10" ht="15.75">
      <c r="A31" s="212" t="s">
        <v>493</v>
      </c>
      <c r="B31" s="225">
        <v>7.17E-2</v>
      </c>
      <c r="C31" s="222">
        <f>+C16</f>
        <v>1.17</v>
      </c>
      <c r="D31" s="213">
        <f>+B31*C31</f>
        <v>8.3888999999999991E-2</v>
      </c>
      <c r="E31" s="213">
        <f>+E16</f>
        <v>4.1399999999999999E-2</v>
      </c>
      <c r="F31" s="214">
        <f>+D31+E31</f>
        <v>0.12528899999999998</v>
      </c>
      <c r="G31" s="12"/>
      <c r="H31" s="12"/>
      <c r="I31" s="12"/>
      <c r="J31" s="12"/>
    </row>
    <row r="32" spans="1:10" ht="15.75">
      <c r="A32" s="212" t="s">
        <v>494</v>
      </c>
      <c r="B32" s="225">
        <v>6.3500000000000001E-2</v>
      </c>
      <c r="C32" s="222">
        <f>+C17</f>
        <v>1.17</v>
      </c>
      <c r="D32" s="213">
        <f>+B32*C32</f>
        <v>7.4295E-2</v>
      </c>
      <c r="E32" s="213">
        <f>+E16</f>
        <v>4.1399999999999999E-2</v>
      </c>
      <c r="F32" s="214">
        <f>+D32+E32</f>
        <v>0.11569499999999999</v>
      </c>
      <c r="G32" s="12"/>
      <c r="H32" s="12"/>
      <c r="I32" s="12"/>
      <c r="J32" s="12"/>
    </row>
    <row r="33" spans="1:10" ht="15.75">
      <c r="A33" s="212" t="s">
        <v>495</v>
      </c>
      <c r="B33" s="225">
        <v>0.06</v>
      </c>
      <c r="C33" s="222">
        <f>+C16</f>
        <v>1.17</v>
      </c>
      <c r="D33" s="213">
        <f>+B33*C33</f>
        <v>7.0199999999999999E-2</v>
      </c>
      <c r="E33" s="213">
        <f>+E16</f>
        <v>4.1399999999999999E-2</v>
      </c>
      <c r="F33" s="214">
        <f>+D33+E33</f>
        <v>0.1116</v>
      </c>
      <c r="G33" s="12"/>
      <c r="H33" s="12"/>
      <c r="I33" s="12"/>
      <c r="J33" s="12"/>
    </row>
    <row r="34" spans="1:10" ht="15.75">
      <c r="A34" s="212"/>
      <c r="B34" s="225"/>
      <c r="C34" s="222"/>
      <c r="D34" s="213"/>
      <c r="E34" s="213"/>
      <c r="F34" s="214"/>
      <c r="G34" s="12"/>
      <c r="H34" s="12"/>
      <c r="I34" s="12"/>
      <c r="J34" s="12"/>
    </row>
    <row r="35" spans="1:10" ht="15.75">
      <c r="A35" s="212" t="s">
        <v>479</v>
      </c>
      <c r="B35" s="225">
        <v>0.06</v>
      </c>
      <c r="C35" s="222">
        <f>+C16</f>
        <v>1.17</v>
      </c>
      <c r="D35" s="213">
        <f>+B35*C35</f>
        <v>7.0199999999999999E-2</v>
      </c>
      <c r="E35" s="213">
        <f>+E16</f>
        <v>4.1399999999999999E-2</v>
      </c>
      <c r="F35" s="214">
        <f>+D35+E35</f>
        <v>0.1116</v>
      </c>
      <c r="G35" s="12"/>
      <c r="H35" s="12"/>
      <c r="I35" s="12"/>
      <c r="J35" s="12"/>
    </row>
    <row r="36" spans="1:10" ht="15.75" thickBot="1">
      <c r="A36" s="462"/>
      <c r="B36" s="28"/>
      <c r="C36" s="28"/>
      <c r="D36" s="28"/>
      <c r="E36" s="28"/>
      <c r="F36" s="463"/>
      <c r="G36" s="12"/>
      <c r="H36" s="12"/>
      <c r="I36" s="12"/>
      <c r="J36" s="12"/>
    </row>
    <row r="37" spans="1:10">
      <c r="A37" s="12"/>
      <c r="B37" s="12"/>
      <c r="C37" s="12"/>
      <c r="D37" s="12"/>
      <c r="E37" s="12"/>
      <c r="F37" s="12"/>
      <c r="G37" s="12"/>
      <c r="H37" s="12"/>
      <c r="I37" s="12"/>
      <c r="J37" s="12"/>
    </row>
    <row r="38" spans="1:10" ht="27" customHeight="1" thickBot="1">
      <c r="A38" s="12"/>
      <c r="B38" s="12"/>
      <c r="C38" s="12"/>
      <c r="D38" s="12"/>
      <c r="E38" s="12"/>
      <c r="F38" s="12"/>
      <c r="G38" s="12" t="s">
        <v>0</v>
      </c>
      <c r="H38" s="12"/>
      <c r="I38" s="12"/>
      <c r="J38" s="12"/>
    </row>
    <row r="39" spans="1:10" ht="16.5" thickBot="1">
      <c r="A39" s="171" t="s">
        <v>229</v>
      </c>
      <c r="B39" s="12"/>
      <c r="C39" s="12"/>
      <c r="D39" s="12"/>
      <c r="E39" s="12"/>
      <c r="F39" s="12"/>
      <c r="G39" s="12"/>
      <c r="H39" s="12"/>
      <c r="I39" s="12"/>
      <c r="J39" s="12"/>
    </row>
    <row r="40" spans="1:10" ht="36.75" thickBot="1">
      <c r="A40" s="170" t="s">
        <v>227</v>
      </c>
      <c r="B40" s="169" t="s">
        <v>219</v>
      </c>
      <c r="C40" s="168" t="s">
        <v>231</v>
      </c>
      <c r="D40" s="169" t="s">
        <v>222</v>
      </c>
      <c r="E40" s="169" t="s">
        <v>223</v>
      </c>
      <c r="F40" s="169" t="s">
        <v>464</v>
      </c>
      <c r="G40" s="167" t="s">
        <v>220</v>
      </c>
      <c r="H40" s="12"/>
      <c r="I40" s="12"/>
      <c r="J40" s="12"/>
    </row>
    <row r="41" spans="1:10">
      <c r="A41" s="164"/>
      <c r="B41" s="116"/>
      <c r="C41" s="116"/>
      <c r="D41" s="116"/>
      <c r="E41" s="116"/>
      <c r="F41" s="116"/>
      <c r="G41" s="165"/>
      <c r="H41" s="12"/>
      <c r="I41" s="12"/>
      <c r="J41" s="12"/>
    </row>
    <row r="42" spans="1:10" ht="15.75">
      <c r="A42" s="212" t="s">
        <v>466</v>
      </c>
      <c r="B42" s="225">
        <f>+B16</f>
        <v>3.3799999999999997E-2</v>
      </c>
      <c r="C42" s="221">
        <f>+C16</f>
        <v>1.17</v>
      </c>
      <c r="D42" s="213">
        <f>+B42*C42*0.75</f>
        <v>2.9659499999999991E-2</v>
      </c>
      <c r="E42" s="225">
        <f>+B42*0.25</f>
        <v>8.4499999999999992E-3</v>
      </c>
      <c r="F42" s="213">
        <f>+E16</f>
        <v>4.1399999999999999E-2</v>
      </c>
      <c r="G42" s="214">
        <f>+D42+E42+F42</f>
        <v>7.9509499999999983E-2</v>
      </c>
      <c r="H42" s="12"/>
      <c r="I42" s="12"/>
      <c r="J42" s="12"/>
    </row>
    <row r="43" spans="1:10" ht="15.75">
      <c r="A43" s="212" t="s">
        <v>467</v>
      </c>
      <c r="B43" s="225">
        <f>+B17</f>
        <v>4.6699999999999998E-2</v>
      </c>
      <c r="C43" s="221">
        <f>+C17</f>
        <v>1.17</v>
      </c>
      <c r="D43" s="213">
        <f>+B43*C43*0.75</f>
        <v>4.0979249999999995E-2</v>
      </c>
      <c r="E43" s="225">
        <f>+B43*0.25</f>
        <v>1.1675E-2</v>
      </c>
      <c r="F43" s="213">
        <f>+E17</f>
        <v>4.1399999999999999E-2</v>
      </c>
      <c r="G43" s="214">
        <f>+D43+E43+F43</f>
        <v>9.4054249999999992E-2</v>
      </c>
      <c r="H43" s="12"/>
      <c r="I43" s="12"/>
      <c r="J43" s="12"/>
    </row>
    <row r="44" spans="1:10" ht="15.75">
      <c r="A44" s="215"/>
      <c r="B44" s="110"/>
      <c r="C44" s="110"/>
      <c r="D44" s="110"/>
      <c r="E44" s="110"/>
      <c r="F44" s="110"/>
      <c r="G44" s="216"/>
      <c r="H44" s="12"/>
      <c r="I44" s="12"/>
      <c r="J44" s="12"/>
    </row>
    <row r="45" spans="1:10" ht="15.75">
      <c r="A45" s="212" t="str">
        <f t="shared" ref="A45:C46" si="2">+A19</f>
        <v>Damodaran Implied ERP Ex Ante   Trailing 12 mo Cash Yield (3)</v>
      </c>
      <c r="B45" s="225">
        <f t="shared" si="2"/>
        <v>5.9400000000000001E-2</v>
      </c>
      <c r="C45" s="221">
        <f t="shared" si="2"/>
        <v>1.17</v>
      </c>
      <c r="D45" s="213">
        <f>+B45*C45*0.75</f>
        <v>5.2123500000000003E-2</v>
      </c>
      <c r="E45" s="225">
        <f>+B45*0.25</f>
        <v>1.485E-2</v>
      </c>
      <c r="F45" s="213">
        <f>+E19</f>
        <v>4.1399999999999999E-2</v>
      </c>
      <c r="G45" s="214">
        <f>+D45+E45+F45</f>
        <v>0.10837350000000001</v>
      </c>
      <c r="H45" s="12"/>
      <c r="I45" s="12"/>
      <c r="J45" s="12"/>
    </row>
    <row r="46" spans="1:10" ht="15.75">
      <c r="A46" s="212" t="str">
        <f t="shared" ref="A46:B48" si="3">+A20</f>
        <v>Damodaran Implied ERP Ex Ante   Avg CF Yield Last 10 Yrs (3)</v>
      </c>
      <c r="B46" s="225">
        <f t="shared" si="3"/>
        <v>5.8500000000000003E-2</v>
      </c>
      <c r="C46" s="221">
        <f t="shared" si="2"/>
        <v>1.17</v>
      </c>
      <c r="D46" s="213">
        <f>+B46*C46*0.75</f>
        <v>5.1333750000000004E-2</v>
      </c>
      <c r="E46" s="225">
        <f>+B46*0.25</f>
        <v>1.4625000000000001E-2</v>
      </c>
      <c r="F46" s="213">
        <f>+E20</f>
        <v>4.1399999999999999E-2</v>
      </c>
      <c r="G46" s="214">
        <f>+D46+E46+F46</f>
        <v>0.10735875</v>
      </c>
      <c r="H46" s="12"/>
      <c r="I46" s="12"/>
      <c r="J46" s="12"/>
    </row>
    <row r="47" spans="1:10" ht="15.75">
      <c r="A47" s="212" t="str">
        <f t="shared" si="3"/>
        <v>Damodaran Implied ERP Ex Ante   Net Cash Yield (3)</v>
      </c>
      <c r="B47" s="225">
        <f t="shared" si="3"/>
        <v>5.6800000000000003E-2</v>
      </c>
      <c r="C47" s="221">
        <f>+C21</f>
        <v>1.17</v>
      </c>
      <c r="D47" s="213">
        <f>+B47*C47*0.75</f>
        <v>4.9841999999999997E-2</v>
      </c>
      <c r="E47" s="225">
        <f>+B47*0.25</f>
        <v>1.4200000000000001E-2</v>
      </c>
      <c r="F47" s="213">
        <f>+E21</f>
        <v>4.1399999999999999E-2</v>
      </c>
      <c r="G47" s="214">
        <f>+D47+E47+F47</f>
        <v>0.10544200000000001</v>
      </c>
      <c r="H47" s="12"/>
      <c r="I47" s="12"/>
      <c r="J47" s="12"/>
    </row>
    <row r="48" spans="1:10" ht="15.75">
      <c r="A48" s="212" t="str">
        <f t="shared" si="3"/>
        <v>Damodaran Implied ERP Ex Ante   Norm. Earnings &amp; Payout (3)</v>
      </c>
      <c r="B48" s="225">
        <f t="shared" si="3"/>
        <v>4.8300000000000003E-2</v>
      </c>
      <c r="C48" s="221">
        <f>+C22</f>
        <v>1.17</v>
      </c>
      <c r="D48" s="213">
        <f>+B48*C48*0.75</f>
        <v>4.2383249999999997E-2</v>
      </c>
      <c r="E48" s="225">
        <f>+B48*0.25</f>
        <v>1.2075000000000001E-2</v>
      </c>
      <c r="F48" s="213">
        <f>+E22</f>
        <v>4.1399999999999999E-2</v>
      </c>
      <c r="G48" s="214">
        <f>+D48+E48+F48</f>
        <v>9.5858250000000006E-2</v>
      </c>
      <c r="H48" s="12"/>
      <c r="I48" s="12"/>
      <c r="J48" s="12"/>
    </row>
    <row r="49" spans="1:10" ht="15.75">
      <c r="A49" s="212" t="s">
        <v>0</v>
      </c>
      <c r="B49" s="225" t="s">
        <v>0</v>
      </c>
      <c r="C49" s="213" t="s">
        <v>0</v>
      </c>
      <c r="D49" s="213" t="s">
        <v>0</v>
      </c>
      <c r="E49" s="225" t="s">
        <v>0</v>
      </c>
      <c r="F49" s="213" t="s">
        <v>0</v>
      </c>
      <c r="G49" s="214" t="s">
        <v>0</v>
      </c>
      <c r="H49" s="12"/>
      <c r="I49" s="12"/>
      <c r="J49" s="12"/>
    </row>
    <row r="50" spans="1:10" ht="15.75">
      <c r="A50" s="212" t="s">
        <v>224</v>
      </c>
      <c r="B50" s="225">
        <f>+B24</f>
        <v>4.6199999999999998E-2</v>
      </c>
      <c r="C50" s="221">
        <f>+C24</f>
        <v>1.17</v>
      </c>
      <c r="D50" s="213">
        <f>+B50*C50*0.75</f>
        <v>4.0540499999999993E-2</v>
      </c>
      <c r="E50" s="225">
        <f>+B50*0.25</f>
        <v>1.155E-2</v>
      </c>
      <c r="F50" s="213">
        <f>+E24</f>
        <v>4.1399999999999999E-2</v>
      </c>
      <c r="G50" s="214">
        <f>+D50+E50+F50</f>
        <v>9.349049999999999E-2</v>
      </c>
    </row>
    <row r="51" spans="1:10" ht="15.75">
      <c r="A51" s="212" t="s">
        <v>0</v>
      </c>
      <c r="B51" s="225" t="s">
        <v>0</v>
      </c>
      <c r="C51" s="213" t="s">
        <v>0</v>
      </c>
      <c r="D51" s="213" t="s">
        <v>0</v>
      </c>
      <c r="E51" s="225" t="s">
        <v>0</v>
      </c>
      <c r="F51" s="213" t="s">
        <v>0</v>
      </c>
      <c r="G51" s="214" t="s">
        <v>0</v>
      </c>
    </row>
    <row r="52" spans="1:10" ht="15.75">
      <c r="A52" s="212" t="s">
        <v>509</v>
      </c>
      <c r="B52" s="225">
        <f>+B26</f>
        <v>5.6000000000000001E-2</v>
      </c>
      <c r="C52" s="221">
        <f>+C26</f>
        <v>1.17</v>
      </c>
      <c r="D52" s="213">
        <f>+B52*C52*0.75</f>
        <v>4.9139999999999996E-2</v>
      </c>
      <c r="E52" s="225">
        <f>+B52*0.25</f>
        <v>1.4E-2</v>
      </c>
      <c r="F52" s="213">
        <f>+E26</f>
        <v>4.1399999999999999E-2</v>
      </c>
      <c r="G52" s="214">
        <f>+D52+E52+F52</f>
        <v>0.10453999999999999</v>
      </c>
    </row>
    <row r="53" spans="1:10" ht="15.75">
      <c r="A53" s="212" t="s">
        <v>0</v>
      </c>
      <c r="B53" s="225" t="s">
        <v>0</v>
      </c>
      <c r="C53" s="213" t="s">
        <v>0</v>
      </c>
      <c r="D53" s="213" t="s">
        <v>0</v>
      </c>
      <c r="E53" s="225" t="s">
        <v>0</v>
      </c>
      <c r="F53" s="213" t="s">
        <v>0</v>
      </c>
      <c r="G53" s="214" t="s">
        <v>0</v>
      </c>
    </row>
    <row r="54" spans="1:10" ht="15.75">
      <c r="A54" s="212" t="s">
        <v>225</v>
      </c>
      <c r="B54" s="225">
        <f>+B28</f>
        <v>6.2799999999999995E-2</v>
      </c>
      <c r="C54" s="221">
        <f>+C28</f>
        <v>1.17</v>
      </c>
      <c r="D54" s="213">
        <f>+B54*C54*0.75</f>
        <v>5.5106999999999989E-2</v>
      </c>
      <c r="E54" s="225">
        <f>+B54*0.25</f>
        <v>1.5699999999999999E-2</v>
      </c>
      <c r="F54" s="213">
        <f>+E28</f>
        <v>4.1399999999999999E-2</v>
      </c>
      <c r="G54" s="214">
        <f>+D54+E54+F54</f>
        <v>0.11220699999999997</v>
      </c>
    </row>
    <row r="55" spans="1:10" ht="15.75">
      <c r="A55" s="212" t="s">
        <v>226</v>
      </c>
      <c r="B55" s="225">
        <f>+B29</f>
        <v>5.0099999999999999E-2</v>
      </c>
      <c r="C55" s="221">
        <f>+C29</f>
        <v>1.17</v>
      </c>
      <c r="D55" s="213">
        <f>+B55*C55*0.75</f>
        <v>4.3962749999999995E-2</v>
      </c>
      <c r="E55" s="225">
        <f>+B55*0.25</f>
        <v>1.2525E-2</v>
      </c>
      <c r="F55" s="213">
        <f>+E29</f>
        <v>4.1399999999999999E-2</v>
      </c>
      <c r="G55" s="214">
        <f>+D55+E55+F55</f>
        <v>9.7887749999999996E-2</v>
      </c>
    </row>
    <row r="56" spans="1:10" ht="15.75">
      <c r="A56" s="212"/>
      <c r="B56" s="225"/>
      <c r="C56" s="221"/>
      <c r="D56" s="213"/>
      <c r="E56" s="225"/>
      <c r="F56" s="213"/>
      <c r="G56" s="214"/>
    </row>
    <row r="57" spans="1:10" ht="15.75">
      <c r="A57" s="212" t="str">
        <f t="shared" ref="A57:C58" si="4">+A31</f>
        <v>KROLL Ex Post  - ERP Historical (8)</v>
      </c>
      <c r="B57" s="225">
        <f t="shared" si="4"/>
        <v>7.17E-2</v>
      </c>
      <c r="C57" s="221">
        <f t="shared" si="4"/>
        <v>1.17</v>
      </c>
      <c r="D57" s="213">
        <f>+B57*C57*0.75</f>
        <v>6.2916749999999994E-2</v>
      </c>
      <c r="E57" s="225">
        <f>+B57*0.25</f>
        <v>1.7925E-2</v>
      </c>
      <c r="F57" s="213">
        <f>+E31</f>
        <v>4.1399999999999999E-2</v>
      </c>
      <c r="G57" s="214">
        <f>+D57+E57+F57</f>
        <v>0.12224174999999998</v>
      </c>
    </row>
    <row r="58" spans="1:10" ht="15.75">
      <c r="A58" s="212" t="str">
        <f t="shared" si="4"/>
        <v>KROLL Ex Post - ERP Supply Side (8)</v>
      </c>
      <c r="B58" s="225">
        <f t="shared" si="4"/>
        <v>6.3500000000000001E-2</v>
      </c>
      <c r="C58" s="221">
        <f t="shared" si="4"/>
        <v>1.17</v>
      </c>
      <c r="D58" s="213">
        <f>+B58*C58*0.75</f>
        <v>5.572125E-2</v>
      </c>
      <c r="E58" s="225">
        <f>+B58*0.25</f>
        <v>1.5875E-2</v>
      </c>
      <c r="F58" s="213">
        <f>+E32</f>
        <v>4.1399999999999999E-2</v>
      </c>
      <c r="G58" s="214">
        <f>+D58+E58+F58</f>
        <v>0.11299624999999999</v>
      </c>
    </row>
    <row r="59" spans="1:10" ht="15.75">
      <c r="A59" s="212" t="str">
        <f>+A33</f>
        <v>KROLL Ex Ante - ERP Conditional (8)</v>
      </c>
      <c r="B59" s="225">
        <f>+B33</f>
        <v>0.06</v>
      </c>
      <c r="C59" s="221">
        <f>+C29</f>
        <v>1.17</v>
      </c>
      <c r="D59" s="213">
        <f>+B59*C59*0.75</f>
        <v>5.2650000000000002E-2</v>
      </c>
      <c r="E59" s="225">
        <f>+B59*0.25</f>
        <v>1.4999999999999999E-2</v>
      </c>
      <c r="F59" s="213">
        <f>+E33</f>
        <v>4.1399999999999999E-2</v>
      </c>
      <c r="G59" s="214">
        <f>+D59+E59+F59</f>
        <v>0.10905000000000001</v>
      </c>
    </row>
    <row r="60" spans="1:10" ht="15.75">
      <c r="A60" s="212"/>
      <c r="B60" s="225"/>
      <c r="C60" s="221"/>
      <c r="D60" s="213"/>
      <c r="E60" s="225"/>
      <c r="F60" s="213"/>
      <c r="G60" s="214"/>
    </row>
    <row r="61" spans="1:10" ht="15.75">
      <c r="A61" s="212" t="s">
        <v>479</v>
      </c>
      <c r="B61" s="225">
        <f>+B35</f>
        <v>0.06</v>
      </c>
      <c r="C61" s="221">
        <f>+C33</f>
        <v>1.17</v>
      </c>
      <c r="D61" s="213">
        <f>+B61*C61*0.75</f>
        <v>5.2650000000000002E-2</v>
      </c>
      <c r="E61" s="225">
        <f>+B61*0.25</f>
        <v>1.4999999999999999E-2</v>
      </c>
      <c r="F61" s="213">
        <f>+E35</f>
        <v>4.1399999999999999E-2</v>
      </c>
      <c r="G61" s="214">
        <f>+D61+E61+F61</f>
        <v>0.10905000000000001</v>
      </c>
    </row>
    <row r="62" spans="1:10" ht="15.75" thickBot="1">
      <c r="A62" s="321"/>
      <c r="B62" s="162"/>
      <c r="C62" s="162"/>
      <c r="D62" s="162"/>
      <c r="E62" s="162"/>
      <c r="F62" s="162"/>
      <c r="G62" s="322"/>
    </row>
    <row r="64" spans="1:10" ht="15.75">
      <c r="A64" s="64" t="s">
        <v>73</v>
      </c>
      <c r="E64" s="224" t="s">
        <v>0</v>
      </c>
    </row>
    <row r="65" spans="1:7">
      <c r="A65" s="172" t="s">
        <v>0</v>
      </c>
      <c r="E65" s="224" t="s">
        <v>0</v>
      </c>
    </row>
    <row r="66" spans="1:7">
      <c r="A66" s="43" t="s">
        <v>480</v>
      </c>
      <c r="B66" s="12"/>
      <c r="C66" s="12"/>
      <c r="D66" s="12"/>
      <c r="E66" s="12"/>
      <c r="F66" s="12"/>
      <c r="G66" s="12"/>
    </row>
    <row r="67" spans="1:7">
      <c r="A67" s="43" t="s">
        <v>0</v>
      </c>
      <c r="B67" s="12"/>
      <c r="C67" s="12"/>
      <c r="D67" s="12"/>
      <c r="E67" s="12"/>
      <c r="F67" s="12"/>
      <c r="G67" s="12"/>
    </row>
    <row r="68" spans="1:7">
      <c r="A68" s="43" t="s">
        <v>481</v>
      </c>
      <c r="B68" s="12"/>
      <c r="C68" s="12"/>
      <c r="D68" s="12"/>
      <c r="E68" s="12"/>
      <c r="F68" s="12"/>
      <c r="G68" s="12"/>
    </row>
    <row r="69" spans="1:7">
      <c r="A69" s="159" t="s">
        <v>482</v>
      </c>
      <c r="C69" s="12"/>
      <c r="D69" s="12"/>
      <c r="E69" s="12"/>
      <c r="F69" s="12"/>
      <c r="G69" s="12"/>
    </row>
    <row r="70" spans="1:7">
      <c r="A70" s="43" t="s">
        <v>0</v>
      </c>
      <c r="B70" s="12"/>
      <c r="C70" s="12"/>
      <c r="D70" s="12"/>
      <c r="E70" s="12"/>
      <c r="F70" s="12"/>
      <c r="G70" s="12"/>
    </row>
    <row r="71" spans="1:7">
      <c r="A71" s="43" t="s">
        <v>511</v>
      </c>
      <c r="B71" s="12"/>
      <c r="C71" s="12"/>
      <c r="D71" s="12"/>
      <c r="E71" s="12"/>
      <c r="F71" s="12"/>
      <c r="G71" s="12"/>
    </row>
    <row r="72" spans="1:7">
      <c r="A72" s="159" t="s">
        <v>483</v>
      </c>
      <c r="B72" s="12"/>
      <c r="C72" s="12"/>
      <c r="D72" s="12"/>
      <c r="E72" s="12"/>
      <c r="F72" s="12"/>
      <c r="G72" s="12"/>
    </row>
    <row r="73" spans="1:7">
      <c r="A73" s="43"/>
      <c r="B73" s="12"/>
      <c r="C73" s="12"/>
      <c r="D73" s="12"/>
      <c r="E73" s="12"/>
      <c r="F73" s="12"/>
      <c r="G73" s="12"/>
    </row>
    <row r="74" spans="1:7">
      <c r="A74" s="43" t="s">
        <v>510</v>
      </c>
      <c r="B74" s="12"/>
      <c r="C74" s="12"/>
      <c r="D74" s="12"/>
      <c r="E74" s="12"/>
      <c r="F74" s="12"/>
      <c r="G74" s="12"/>
    </row>
    <row r="75" spans="1:7">
      <c r="A75" s="159" t="s">
        <v>484</v>
      </c>
      <c r="B75" s="12"/>
      <c r="C75" s="12"/>
      <c r="D75" s="12"/>
      <c r="E75" s="12"/>
      <c r="F75" s="12"/>
      <c r="G75" s="12"/>
    </row>
    <row r="76" spans="1:7">
      <c r="A76" s="43"/>
      <c r="B76" s="12"/>
      <c r="C76" s="12"/>
      <c r="D76" s="12"/>
      <c r="E76" s="12"/>
      <c r="F76" s="12"/>
      <c r="G76" s="12"/>
    </row>
    <row r="77" spans="1:7">
      <c r="A77" s="43" t="s">
        <v>375</v>
      </c>
      <c r="B77" s="12"/>
      <c r="C77" s="12"/>
      <c r="D77" s="12"/>
      <c r="E77" s="12"/>
      <c r="F77" s="12"/>
      <c r="G77" s="12"/>
    </row>
    <row r="78" spans="1:7">
      <c r="A78" s="159" t="s">
        <v>485</v>
      </c>
      <c r="B78" s="12"/>
      <c r="C78" s="12"/>
      <c r="D78" s="12"/>
      <c r="E78" s="12"/>
      <c r="F78" s="12"/>
      <c r="G78" s="12"/>
    </row>
    <row r="79" spans="1:7">
      <c r="A79" s="172"/>
    </row>
    <row r="80" spans="1:7">
      <c r="A80" s="43" t="s">
        <v>472</v>
      </c>
    </row>
    <row r="81" spans="1:8">
      <c r="A81" s="43" t="s">
        <v>0</v>
      </c>
    </row>
    <row r="82" spans="1:8">
      <c r="A82" s="43" t="s">
        <v>486</v>
      </c>
      <c r="H82" s="12"/>
    </row>
    <row r="83" spans="1:8">
      <c r="A83" s="159" t="s">
        <v>487</v>
      </c>
      <c r="H83" s="12"/>
    </row>
    <row r="84" spans="1:8" ht="18.75" thickBot="1">
      <c r="A84" s="163"/>
      <c r="B84" s="163"/>
      <c r="C84" s="163"/>
      <c r="D84" s="28"/>
      <c r="E84" s="36"/>
      <c r="F84" s="28"/>
      <c r="G84" s="162"/>
      <c r="H84" s="12"/>
    </row>
    <row r="85" spans="1:8">
      <c r="H85" s="12"/>
    </row>
  </sheetData>
  <hyperlinks>
    <hyperlink ref="A83" r:id="rId1" xr:uid="{6D005647-3322-4652-BB79-E55226EE01E4}"/>
    <hyperlink ref="A75" r:id="rId2" xr:uid="{0D354571-68CE-4501-B46E-A230E90064E4}"/>
    <hyperlink ref="A78" r:id="rId3" xr:uid="{BFBE3A92-3082-4734-B079-E437B248ED26}"/>
    <hyperlink ref="A72" r:id="rId4" xr:uid="{A2705BEC-2AC4-48E9-8B12-5A1C5E1B6469}"/>
    <hyperlink ref="A69" r:id="rId5" xr:uid="{7D6FFEC2-E659-4DE2-AD2C-83D7027C9A51}"/>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8"/>
  <sheetViews>
    <sheetView view="pageBreakPreview" zoomScale="70" zoomScaleNormal="80" zoomScaleSheetLayoutView="70" workbookViewId="0">
      <selection activeCell="E31" sqref="E31"/>
    </sheetView>
  </sheetViews>
  <sheetFormatPr defaultRowHeight="15"/>
  <cols>
    <col min="1" max="1" width="45.140625" customWidth="1"/>
    <col min="2" max="2" width="10.85546875" bestFit="1"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12" t="s">
        <v>0</v>
      </c>
      <c r="G5" s="12"/>
      <c r="H5" s="26"/>
      <c r="I5" s="12"/>
      <c r="J5" s="12"/>
      <c r="K5" s="12"/>
    </row>
    <row r="6" spans="1:11" ht="16.5" thickBot="1">
      <c r="A6" s="287" t="str">
        <f>+'S&amp;D'!A12</f>
        <v>Liquid Transportation Pipeline Carriers</v>
      </c>
      <c r="B6" s="211"/>
      <c r="C6" s="12"/>
      <c r="D6" s="28"/>
      <c r="E6" s="28"/>
      <c r="F6" s="28"/>
      <c r="G6" s="29" t="s">
        <v>0</v>
      </c>
      <c r="H6" s="28"/>
      <c r="I6" s="12"/>
      <c r="J6" s="12"/>
      <c r="K6" s="12"/>
    </row>
    <row r="7" spans="1:11" ht="20.25">
      <c r="A7" s="30"/>
      <c r="B7" s="12"/>
      <c r="C7" s="12"/>
      <c r="D7" s="12"/>
      <c r="E7" s="12"/>
      <c r="F7" s="31" t="s">
        <v>465</v>
      </c>
      <c r="G7" s="12"/>
      <c r="H7" s="12"/>
      <c r="I7" s="12"/>
      <c r="J7" s="12"/>
      <c r="K7" s="12"/>
    </row>
    <row r="8" spans="1:11" ht="18.75" thickBot="1">
      <c r="A8" s="30"/>
      <c r="B8" s="12"/>
      <c r="C8" s="12"/>
      <c r="D8" s="28"/>
      <c r="E8" s="28"/>
      <c r="F8" s="32" t="s">
        <v>77</v>
      </c>
      <c r="G8" s="28"/>
      <c r="H8" s="28"/>
      <c r="I8" s="12"/>
      <c r="J8" s="12"/>
      <c r="K8" s="12"/>
    </row>
    <row r="9" spans="1:11" ht="15.75" thickBot="1">
      <c r="A9" s="33" t="s">
        <v>0</v>
      </c>
      <c r="B9" s="33" t="s">
        <v>0</v>
      </c>
      <c r="C9" s="33" t="s">
        <v>0</v>
      </c>
      <c r="D9" s="28"/>
      <c r="E9" s="33"/>
      <c r="F9" s="33" t="s">
        <v>0</v>
      </c>
      <c r="G9" s="33"/>
      <c r="H9" s="28"/>
      <c r="I9" s="28"/>
      <c r="J9" s="28"/>
      <c r="K9" s="12"/>
    </row>
    <row r="10" spans="1:11">
      <c r="A10" s="34" t="s">
        <v>0</v>
      </c>
      <c r="B10" s="34" t="s">
        <v>3</v>
      </c>
      <c r="C10" s="34" t="s">
        <v>5</v>
      </c>
      <c r="D10" s="34" t="s">
        <v>170</v>
      </c>
      <c r="E10" s="34" t="s">
        <v>12</v>
      </c>
      <c r="F10" s="34" t="s">
        <v>181</v>
      </c>
      <c r="G10" s="34" t="s">
        <v>182</v>
      </c>
      <c r="H10" s="34" t="s">
        <v>182</v>
      </c>
      <c r="I10" s="34" t="s">
        <v>178</v>
      </c>
      <c r="J10" s="34" t="s">
        <v>178</v>
      </c>
      <c r="K10" s="12"/>
    </row>
    <row r="11" spans="1:11">
      <c r="A11" s="34" t="s">
        <v>2</v>
      </c>
      <c r="B11" s="34" t="s">
        <v>4</v>
      </c>
      <c r="C11" s="34" t="s">
        <v>6</v>
      </c>
      <c r="D11" s="34" t="s">
        <v>209</v>
      </c>
      <c r="E11" s="34" t="s">
        <v>14</v>
      </c>
      <c r="F11" s="34" t="s">
        <v>461</v>
      </c>
      <c r="G11" s="34" t="s">
        <v>210</v>
      </c>
      <c r="H11" s="34" t="s">
        <v>211</v>
      </c>
      <c r="I11" s="34" t="s">
        <v>173</v>
      </c>
      <c r="J11" s="34" t="s">
        <v>176</v>
      </c>
      <c r="K11" s="12"/>
    </row>
    <row r="12" spans="1:11">
      <c r="A12" s="34"/>
      <c r="B12" s="34"/>
      <c r="C12" s="34"/>
      <c r="D12" s="34"/>
      <c r="E12" s="34"/>
      <c r="F12" s="35" t="s">
        <v>0</v>
      </c>
      <c r="G12" s="35" t="s">
        <v>463</v>
      </c>
      <c r="H12" s="35" t="s">
        <v>463</v>
      </c>
      <c r="I12" s="34"/>
      <c r="J12" s="34"/>
      <c r="K12" s="12"/>
    </row>
    <row r="13" spans="1:11" ht="15.75" thickBot="1">
      <c r="A13" s="36" t="s">
        <v>24</v>
      </c>
      <c r="B13" s="37" t="s">
        <v>92</v>
      </c>
      <c r="C13" s="37" t="s">
        <v>93</v>
      </c>
      <c r="D13" s="37" t="s">
        <v>94</v>
      </c>
      <c r="E13" s="37" t="s">
        <v>95</v>
      </c>
      <c r="F13" s="37" t="s">
        <v>96</v>
      </c>
      <c r="G13" s="37" t="s">
        <v>97</v>
      </c>
      <c r="H13" s="37" t="s">
        <v>98</v>
      </c>
      <c r="I13" s="37" t="s">
        <v>179</v>
      </c>
      <c r="J13" s="37" t="s">
        <v>180</v>
      </c>
      <c r="K13" s="12"/>
    </row>
    <row r="14" spans="1:11">
      <c r="A14" s="38" t="s">
        <v>7</v>
      </c>
      <c r="B14" s="38" t="s">
        <v>7</v>
      </c>
      <c r="C14" s="38" t="s">
        <v>7</v>
      </c>
      <c r="D14" s="39" t="s">
        <v>116</v>
      </c>
      <c r="E14" s="39"/>
      <c r="F14" s="38" t="s">
        <v>0</v>
      </c>
      <c r="G14" s="38" t="s">
        <v>7</v>
      </c>
      <c r="H14" s="38" t="s">
        <v>7</v>
      </c>
      <c r="I14" s="38" t="s">
        <v>15</v>
      </c>
      <c r="J14" s="38" t="s">
        <v>15</v>
      </c>
      <c r="K14" s="12"/>
    </row>
    <row r="15" spans="1:11">
      <c r="A15" s="34"/>
      <c r="B15" s="34"/>
      <c r="C15" s="34"/>
      <c r="D15" s="34"/>
      <c r="E15" s="34"/>
      <c r="F15" s="34"/>
      <c r="G15" s="34"/>
      <c r="H15" s="12"/>
      <c r="I15" s="12"/>
      <c r="J15" s="12"/>
      <c r="K15" s="12"/>
    </row>
    <row r="16" spans="1:11">
      <c r="A16" s="12"/>
      <c r="B16" s="12"/>
      <c r="C16" s="12"/>
      <c r="D16" s="12"/>
      <c r="E16" s="12"/>
      <c r="F16" s="12"/>
      <c r="G16" s="12"/>
      <c r="H16" s="12"/>
      <c r="I16" s="12"/>
      <c r="J16" s="12"/>
      <c r="K16" s="12"/>
    </row>
    <row r="17" spans="1:11" ht="15.75">
      <c r="A17" s="64" t="str">
        <f>+'S&amp;D'!A22</f>
        <v>DCP Midstream LP</v>
      </c>
      <c r="B17" s="93" t="str">
        <f>+'S&amp;D'!B22</f>
        <v>DCP</v>
      </c>
      <c r="C17" s="93" t="str">
        <f>+'S&amp;D'!C22</f>
        <v>Pipeline MLPs</v>
      </c>
      <c r="D17" s="61">
        <f>+'S&amp;D'!G22</f>
        <v>38.79</v>
      </c>
      <c r="E17" s="62">
        <f>+'S&amp;D'!D41</f>
        <v>8083702484.8199997</v>
      </c>
      <c r="F17" s="390">
        <f>+'Dividends '!H16</f>
        <v>7.2183552461974734E-2</v>
      </c>
      <c r="G17" s="53">
        <v>9.5000000000000001E-2</v>
      </c>
      <c r="H17" s="393">
        <v>0</v>
      </c>
      <c r="I17" s="358">
        <f>+F17+G17</f>
        <v>0.16718355246197475</v>
      </c>
      <c r="J17" s="391">
        <f>+F17+H17</f>
        <v>7.2183552461974734E-2</v>
      </c>
      <c r="K17" s="12"/>
    </row>
    <row r="18" spans="1:11" ht="15.75">
      <c r="A18" s="64" t="str">
        <f>+'S&amp;D'!A23</f>
        <v>Energy Transfer LP</v>
      </c>
      <c r="B18" s="93" t="str">
        <f>+'S&amp;D'!B23</f>
        <v>ET</v>
      </c>
      <c r="C18" s="93" t="str">
        <f>+'S&amp;D'!C23</f>
        <v>Pipeline MLPs</v>
      </c>
      <c r="D18" s="61">
        <f>+'S&amp;D'!G23</f>
        <v>11.87</v>
      </c>
      <c r="E18" s="62">
        <f>+'S&amp;D'!D42</f>
        <v>36731066506.290001</v>
      </c>
      <c r="F18" s="53">
        <f>+'Dividends '!H17</f>
        <v>7.7506318449873643E-2</v>
      </c>
      <c r="G18" s="53">
        <v>0.04</v>
      </c>
      <c r="H18" s="53">
        <v>0.1</v>
      </c>
      <c r="I18" s="358">
        <f t="shared" ref="I18:I22" si="0">+F18+G18</f>
        <v>0.11750631844987364</v>
      </c>
      <c r="J18" s="358">
        <f t="shared" ref="J18:J22" si="1">+F18+H18</f>
        <v>0.17750631844987363</v>
      </c>
      <c r="K18" s="12"/>
    </row>
    <row r="19" spans="1:11" ht="15.75">
      <c r="A19" s="64" t="str">
        <f>+'S&amp;D'!A24</f>
        <v>Enterprise Products Partnership LP</v>
      </c>
      <c r="B19" s="93" t="str">
        <f>+'S&amp;D'!B24</f>
        <v>EPD</v>
      </c>
      <c r="C19" s="93" t="str">
        <f>+'S&amp;D'!C24</f>
        <v>Pipeline MLPs</v>
      </c>
      <c r="D19" s="61">
        <f>+'S&amp;D'!G24</f>
        <v>24.12</v>
      </c>
      <c r="E19" s="62">
        <f>+'S&amp;D'!D43</f>
        <v>52359849089.639999</v>
      </c>
      <c r="F19" s="53">
        <f>+'Dividends '!H18</f>
        <v>8.2918739635157543E-2</v>
      </c>
      <c r="G19" s="53">
        <v>8.5000000000000006E-2</v>
      </c>
      <c r="H19" s="53">
        <v>7.0000000000000007E-2</v>
      </c>
      <c r="I19" s="358">
        <f t="shared" si="0"/>
        <v>0.16791873963515755</v>
      </c>
      <c r="J19" s="358">
        <f t="shared" si="1"/>
        <v>0.15291873963515756</v>
      </c>
      <c r="K19" s="12"/>
    </row>
    <row r="20" spans="1:11" ht="15.75">
      <c r="A20" s="64" t="str">
        <f>+'S&amp;D'!A25</f>
        <v>Hess Midstream LP</v>
      </c>
      <c r="B20" s="93" t="str">
        <f>+'S&amp;D'!B25</f>
        <v>HESM</v>
      </c>
      <c r="C20" s="93" t="str">
        <f>+'S&amp;D'!C25</f>
        <v>Pipeline MLPs</v>
      </c>
      <c r="D20" s="61">
        <f>+'S&amp;D'!G25</f>
        <v>29.92</v>
      </c>
      <c r="E20" s="62">
        <f>+'S&amp;D'!D44</f>
        <v>7176325523.8400002</v>
      </c>
      <c r="F20" s="53">
        <f>+'Dividends '!H19</f>
        <v>8.0213903743315496E-2</v>
      </c>
      <c r="G20" s="53">
        <v>9.5000000000000001E-2</v>
      </c>
      <c r="H20" s="390">
        <v>0.13</v>
      </c>
      <c r="I20" s="358">
        <f t="shared" si="0"/>
        <v>0.1752139037433155</v>
      </c>
      <c r="J20" s="358">
        <f t="shared" si="1"/>
        <v>0.2102139037433155</v>
      </c>
      <c r="K20" s="12"/>
    </row>
    <row r="21" spans="1:11" ht="15.75">
      <c r="A21" s="64" t="str">
        <f>+'S&amp;D'!A26</f>
        <v>Holly Energy Partners LP</v>
      </c>
      <c r="B21" s="93" t="str">
        <f>+'S&amp;D'!B26</f>
        <v>HEP</v>
      </c>
      <c r="C21" s="93" t="str">
        <f>+'S&amp;D'!C26</f>
        <v>Pipeline MLPs</v>
      </c>
      <c r="D21" s="61">
        <f>+'S&amp;D'!G26</f>
        <v>18.12</v>
      </c>
      <c r="E21" s="62">
        <f>+'S&amp;D'!D45</f>
        <v>2291096442.1200004</v>
      </c>
      <c r="F21" s="53">
        <f>+'Dividends '!H20</f>
        <v>7.7262693156732884E-2</v>
      </c>
      <c r="G21" s="390">
        <v>-5.0000000000000001E-3</v>
      </c>
      <c r="H21" s="53">
        <v>0.08</v>
      </c>
      <c r="I21" s="391">
        <f t="shared" si="0"/>
        <v>7.226269315673288E-2</v>
      </c>
      <c r="J21" s="358">
        <f t="shared" si="1"/>
        <v>0.15726269315673289</v>
      </c>
      <c r="K21" s="12"/>
    </row>
    <row r="22" spans="1:11" ht="15.75">
      <c r="A22" s="64" t="str">
        <f>+'S&amp;D'!A27</f>
        <v>Magellan Midstream Partners LP</v>
      </c>
      <c r="B22" s="93" t="str">
        <f>+'S&amp;D'!B27</f>
        <v>MMP</v>
      </c>
      <c r="C22" s="93" t="str">
        <f>+'S&amp;D'!C27</f>
        <v>Pipeline MLPs</v>
      </c>
      <c r="D22" s="61">
        <f>+'S&amp;D'!G27</f>
        <v>50.21</v>
      </c>
      <c r="E22" s="62">
        <f>+'S&amp;D'!D46</f>
        <v>10192630000</v>
      </c>
      <c r="F22" s="53">
        <f>+'Dividends '!H21</f>
        <v>8.4047002589125661E-2</v>
      </c>
      <c r="G22" s="53">
        <v>6.5000000000000002E-2</v>
      </c>
      <c r="H22" s="390">
        <v>6.5000000000000002E-2</v>
      </c>
      <c r="I22" s="358">
        <f t="shared" si="0"/>
        <v>0.14904700258912568</v>
      </c>
      <c r="J22" s="358">
        <f t="shared" si="1"/>
        <v>0.14904700258912568</v>
      </c>
      <c r="K22" s="12"/>
    </row>
    <row r="23" spans="1:11" ht="15.75">
      <c r="A23" s="64" t="str">
        <f>+'S&amp;D'!A28</f>
        <v>MPLX, LP</v>
      </c>
      <c r="B23" s="93" t="str">
        <f>+'S&amp;D'!B28</f>
        <v>MPLX</v>
      </c>
      <c r="C23" s="93" t="str">
        <f>+'S&amp;D'!C28</f>
        <v>Pipeline MLPs</v>
      </c>
      <c r="D23" s="61">
        <f>+'S&amp;D'!G28</f>
        <v>32.840000000000003</v>
      </c>
      <c r="E23" s="62">
        <f>+'S&amp;D'!D47</f>
        <v>32874282694.040005</v>
      </c>
      <c r="F23" s="53">
        <f>+'Dividends '!H22</f>
        <v>8.9829476248477466E-2</v>
      </c>
      <c r="G23" s="53">
        <v>0.03</v>
      </c>
      <c r="H23" s="53">
        <v>0.09</v>
      </c>
      <c r="I23" s="358">
        <f t="shared" ref="I23:I26" si="2">+F23+G23</f>
        <v>0.11982947624847747</v>
      </c>
      <c r="J23" s="358">
        <f t="shared" ref="J23:J26" si="3">+F23+H23</f>
        <v>0.17982947624847745</v>
      </c>
      <c r="K23" s="12"/>
    </row>
    <row r="24" spans="1:11" ht="15.75">
      <c r="A24" s="64" t="str">
        <f>+'S&amp;D'!A29</f>
        <v>NuStar Energy LP</v>
      </c>
      <c r="B24" s="93" t="str">
        <f>+'S&amp;D'!B29</f>
        <v>NS</v>
      </c>
      <c r="C24" s="93" t="str">
        <f>+'S&amp;D'!C29</f>
        <v>Pipeline MLPs</v>
      </c>
      <c r="D24" s="61">
        <f>+'S&amp;D'!G29</f>
        <v>16</v>
      </c>
      <c r="E24" s="62">
        <f>+'S&amp;D'!D48</f>
        <v>1773099488</v>
      </c>
      <c r="F24" s="390">
        <f>+'Dividends '!H23</f>
        <v>0.1</v>
      </c>
      <c r="G24" s="53">
        <v>4.4999999999999998E-2</v>
      </c>
      <c r="H24" s="393">
        <v>0</v>
      </c>
      <c r="I24" s="358">
        <f t="shared" si="2"/>
        <v>0.14500000000000002</v>
      </c>
      <c r="J24" s="358">
        <f t="shared" si="3"/>
        <v>0.1</v>
      </c>
      <c r="K24" s="12"/>
    </row>
    <row r="25" spans="1:11" ht="15.75">
      <c r="A25" s="64" t="str">
        <f>+'S&amp;D'!A30</f>
        <v>Plains All American Pipeline LP</v>
      </c>
      <c r="B25" s="93" t="str">
        <f>+'S&amp;D'!B30</f>
        <v>PAA</v>
      </c>
      <c r="C25" s="93" t="str">
        <f>+'S&amp;D'!C30</f>
        <v>Pipeline MLPs</v>
      </c>
      <c r="D25" s="61">
        <f>+'S&amp;D'!G30</f>
        <v>11.76</v>
      </c>
      <c r="E25" s="62">
        <f>+'S&amp;D'!D49</f>
        <v>8212648896.4799995</v>
      </c>
      <c r="F25" s="53">
        <f>+'Dividends '!H24</f>
        <v>9.0986394557823133E-2</v>
      </c>
      <c r="G25" s="390">
        <v>0.16</v>
      </c>
      <c r="H25" s="393">
        <v>0</v>
      </c>
      <c r="I25" s="391">
        <f>+F25+G25</f>
        <v>0.25098639455782312</v>
      </c>
      <c r="J25" s="358">
        <f>+F25+H25</f>
        <v>9.0986394557823133E-2</v>
      </c>
      <c r="K25" s="12"/>
    </row>
    <row r="26" spans="1:11" ht="16.5" thickBot="1">
      <c r="A26" s="64" t="str">
        <f>+'S&amp;D'!A31</f>
        <v>Western Midstream Partners LP</v>
      </c>
      <c r="B26" s="93" t="str">
        <f>+'S&amp;D'!B31</f>
        <v>WES</v>
      </c>
      <c r="C26" s="93" t="str">
        <f>+'S&amp;D'!C31</f>
        <v>Pipeline MLPs</v>
      </c>
      <c r="D26" s="61">
        <f>+'S&amp;D'!G31</f>
        <v>26.85</v>
      </c>
      <c r="E26" s="62">
        <f>+'S&amp;D'!D50</f>
        <v>10312305920.4</v>
      </c>
      <c r="F26" s="359">
        <f>+'Dividends '!H25</f>
        <v>8.0074487895716945E-2</v>
      </c>
      <c r="G26" s="359">
        <v>0.12</v>
      </c>
      <c r="H26" s="359">
        <v>0.13500000000000001</v>
      </c>
      <c r="I26" s="360">
        <f t="shared" si="2"/>
        <v>0.20007448789571694</v>
      </c>
      <c r="J26" s="392">
        <f t="shared" si="3"/>
        <v>0.21507448789571695</v>
      </c>
      <c r="K26" s="12"/>
    </row>
    <row r="27" spans="1:11" ht="15.75" thickTop="1">
      <c r="A27" s="12"/>
      <c r="B27" s="12"/>
      <c r="C27" s="14" t="s">
        <v>0</v>
      </c>
      <c r="D27" s="15" t="s">
        <v>0</v>
      </c>
      <c r="E27" s="15" t="s">
        <v>46</v>
      </c>
      <c r="F27" s="350">
        <v>10</v>
      </c>
      <c r="G27" s="16">
        <v>16</v>
      </c>
      <c r="H27" s="16">
        <v>13.5</v>
      </c>
      <c r="I27" s="16">
        <v>25.1</v>
      </c>
      <c r="J27" s="16">
        <v>21.51</v>
      </c>
      <c r="K27" s="12"/>
    </row>
    <row r="28" spans="1:11">
      <c r="A28" s="12"/>
      <c r="B28" s="12"/>
      <c r="C28" s="14"/>
      <c r="D28" s="15"/>
      <c r="E28" s="15" t="s">
        <v>47</v>
      </c>
      <c r="F28" s="378">
        <v>7.22</v>
      </c>
      <c r="G28" s="379">
        <v>-0.5</v>
      </c>
      <c r="H28" s="379">
        <v>6.5</v>
      </c>
      <c r="I28" s="379">
        <v>7.23</v>
      </c>
      <c r="J28" s="379">
        <v>7.22</v>
      </c>
      <c r="K28" s="12"/>
    </row>
    <row r="29" spans="1:11">
      <c r="A29" s="12"/>
      <c r="B29" s="12"/>
      <c r="D29" s="17" t="s">
        <v>0</v>
      </c>
      <c r="E29" s="14" t="s">
        <v>18</v>
      </c>
      <c r="F29" s="54">
        <f>MEDIAN(F17:F26)</f>
        <v>8.1566321689236526E-2</v>
      </c>
      <c r="G29" s="351">
        <f>MEDIAN(G17:G26)</f>
        <v>7.5000000000000011E-2</v>
      </c>
      <c r="H29" s="351">
        <f>MEDIAN(H17:H26)</f>
        <v>7.5000000000000011E-2</v>
      </c>
      <c r="I29" s="352">
        <f>MEDIAN(I17:I26)</f>
        <v>0.15811527752555021</v>
      </c>
      <c r="J29" s="352">
        <f>MEDIAN(J17:J26)</f>
        <v>0.15509071639594524</v>
      </c>
      <c r="K29" s="12"/>
    </row>
    <row r="30" spans="1:11">
      <c r="A30" s="12"/>
      <c r="B30" s="12"/>
      <c r="D30" s="21" t="s">
        <v>0</v>
      </c>
      <c r="E30" s="14" t="s">
        <v>473</v>
      </c>
      <c r="F30" s="54">
        <f>AVERAGE(F17:F26)</f>
        <v>8.350225687381975E-2</v>
      </c>
      <c r="G30" s="54">
        <f>AVERAGE(G17:G26)</f>
        <v>7.2999999999999995E-2</v>
      </c>
      <c r="H30" s="351">
        <f>AVERAGE(H17:H26)</f>
        <v>6.7000000000000004E-2</v>
      </c>
      <c r="I30" s="352">
        <f>AVERAGE(I17:I26)</f>
        <v>0.15650225687381977</v>
      </c>
      <c r="J30" s="352">
        <f>AVERAGE(J17:J26)</f>
        <v>0.15050225687381977</v>
      </c>
      <c r="K30" s="12"/>
    </row>
    <row r="31" spans="1:11">
      <c r="A31" s="12"/>
      <c r="B31" s="12"/>
      <c r="D31" s="21"/>
      <c r="E31" s="14"/>
      <c r="F31" s="18"/>
      <c r="G31" s="18"/>
      <c r="H31" s="19"/>
      <c r="I31" s="20"/>
      <c r="J31" s="20"/>
      <c r="K31" s="12"/>
    </row>
    <row r="32" spans="1:11" ht="15.75" thickBot="1">
      <c r="A32" s="12"/>
      <c r="B32" s="12"/>
      <c r="C32" s="12"/>
      <c r="D32" s="12"/>
      <c r="E32" s="12"/>
      <c r="F32" s="12"/>
      <c r="G32" s="12"/>
      <c r="H32" s="12"/>
      <c r="I32" s="12"/>
      <c r="J32" s="12"/>
      <c r="K32" s="12"/>
    </row>
    <row r="33" spans="1:11" ht="24" thickBot="1">
      <c r="A33" s="12"/>
      <c r="B33" s="12"/>
      <c r="C33" s="12"/>
      <c r="D33" s="12"/>
      <c r="E33" s="12"/>
      <c r="F33" s="12"/>
      <c r="G33" s="208" t="s">
        <v>184</v>
      </c>
      <c r="H33" s="210"/>
      <c r="I33" s="353">
        <v>0.1565</v>
      </c>
      <c r="J33" s="12"/>
      <c r="K33" s="12"/>
    </row>
    <row r="34" spans="1:11" ht="20.25" customHeight="1" thickBot="1">
      <c r="A34" s="12"/>
      <c r="B34" s="12"/>
      <c r="C34" s="12"/>
      <c r="D34" s="12"/>
      <c r="E34" s="12"/>
      <c r="F34" s="12"/>
      <c r="G34" s="12"/>
      <c r="H34" s="12"/>
      <c r="I34" s="12"/>
      <c r="J34" s="12"/>
      <c r="K34" s="12"/>
    </row>
    <row r="35" spans="1:11" ht="24" thickBot="1">
      <c r="A35" s="12"/>
      <c r="B35" s="12"/>
      <c r="C35" s="12"/>
      <c r="D35" s="12"/>
      <c r="E35" s="12"/>
      <c r="F35" s="12"/>
      <c r="G35" s="208" t="s">
        <v>183</v>
      </c>
      <c r="H35" s="211"/>
      <c r="I35" s="353">
        <v>0.15049999999999999</v>
      </c>
      <c r="J35" s="12"/>
      <c r="K35" s="12"/>
    </row>
    <row r="36" spans="1:11">
      <c r="A36" s="12"/>
      <c r="B36" s="12"/>
      <c r="C36" s="12"/>
      <c r="D36" s="12"/>
      <c r="E36" s="12"/>
      <c r="F36" s="12"/>
      <c r="G36" s="12"/>
      <c r="H36" s="12"/>
      <c r="I36" s="12"/>
      <c r="J36" s="12"/>
    </row>
    <row r="37" spans="1:11" ht="20.25">
      <c r="A37" s="23" t="s">
        <v>377</v>
      </c>
      <c r="B37" s="12"/>
      <c r="C37" s="23" t="s">
        <v>376</v>
      </c>
      <c r="D37" s="12"/>
      <c r="E37" s="12"/>
      <c r="F37" s="12"/>
      <c r="G37" s="12"/>
      <c r="H37" s="12"/>
      <c r="I37" s="12"/>
      <c r="J37" s="12"/>
    </row>
    <row r="38" spans="1:11" ht="15.75">
      <c r="A38" s="64" t="s">
        <v>380</v>
      </c>
      <c r="B38" s="12"/>
      <c r="C38" s="64" t="s">
        <v>380</v>
      </c>
      <c r="D38" s="12"/>
      <c r="E38" s="12"/>
      <c r="F38" s="12"/>
      <c r="G38" s="12"/>
      <c r="H38" s="12"/>
      <c r="I38" s="12"/>
      <c r="J38" s="12"/>
    </row>
    <row r="39" spans="1:11" ht="15.75">
      <c r="A39" s="64" t="s">
        <v>379</v>
      </c>
      <c r="B39" s="12"/>
      <c r="C39" s="64" t="s">
        <v>378</v>
      </c>
      <c r="D39" s="12"/>
      <c r="E39" s="12"/>
      <c r="F39" s="12"/>
      <c r="G39" s="12"/>
      <c r="H39" s="12"/>
      <c r="I39" s="12"/>
      <c r="J39" s="12"/>
    </row>
    <row r="40" spans="1:11">
      <c r="A40" s="43"/>
      <c r="B40" s="12"/>
      <c r="C40" s="43"/>
      <c r="D40" s="12"/>
      <c r="E40" s="12"/>
      <c r="F40" s="12"/>
      <c r="G40" s="12"/>
      <c r="H40" s="12"/>
      <c r="I40" s="12"/>
      <c r="J40" s="12"/>
    </row>
    <row r="41" spans="1:11">
      <c r="A41" s="43"/>
      <c r="B41" s="12"/>
      <c r="C41" s="43"/>
      <c r="D41" s="12"/>
      <c r="E41" s="12"/>
      <c r="F41" s="12"/>
      <c r="G41" s="12"/>
      <c r="H41" s="12"/>
      <c r="I41" s="12"/>
      <c r="J41" s="12"/>
    </row>
    <row r="42" spans="1:11" ht="20.25">
      <c r="A42" s="23" t="s">
        <v>206</v>
      </c>
      <c r="B42" s="12"/>
      <c r="C42" s="23" t="s">
        <v>206</v>
      </c>
      <c r="D42" s="12"/>
      <c r="E42" s="12"/>
      <c r="F42" s="12"/>
      <c r="G42" s="12"/>
      <c r="H42" s="12"/>
      <c r="I42" s="12"/>
      <c r="J42" s="12"/>
    </row>
    <row r="43" spans="1:11">
      <c r="A43" s="43"/>
      <c r="B43" s="12"/>
      <c r="C43" s="43"/>
      <c r="D43" s="12"/>
      <c r="E43" s="12"/>
      <c r="F43" s="12"/>
      <c r="G43" s="12"/>
      <c r="H43" s="12"/>
      <c r="I43" s="12"/>
      <c r="J43" s="12"/>
    </row>
    <row r="44" spans="1:11" ht="15.75">
      <c r="A44" s="64" t="s">
        <v>207</v>
      </c>
      <c r="B44" s="12"/>
      <c r="C44" s="64" t="s">
        <v>207</v>
      </c>
      <c r="D44" s="12"/>
      <c r="E44" s="12"/>
      <c r="F44" s="12"/>
      <c r="G44" s="12"/>
      <c r="H44" s="12"/>
      <c r="I44" s="12"/>
      <c r="J44" s="12"/>
    </row>
    <row r="45" spans="1:11" ht="15.75">
      <c r="A45" s="64" t="s">
        <v>205</v>
      </c>
      <c r="B45" s="12"/>
      <c r="C45" s="64" t="s">
        <v>205</v>
      </c>
      <c r="D45" s="12"/>
      <c r="E45" s="12"/>
      <c r="F45" s="12"/>
      <c r="G45" s="12"/>
      <c r="H45" s="12"/>
      <c r="I45" s="12"/>
      <c r="J45" s="12"/>
    </row>
    <row r="46" spans="1:11" ht="15.75">
      <c r="A46" s="64" t="s">
        <v>208</v>
      </c>
      <c r="B46" s="12"/>
      <c r="C46" s="64" t="s">
        <v>208</v>
      </c>
      <c r="D46" s="12"/>
      <c r="E46" s="12"/>
      <c r="F46" s="12"/>
      <c r="G46" s="12"/>
      <c r="H46" s="12"/>
      <c r="I46" s="12"/>
      <c r="J46" s="12"/>
    </row>
    <row r="47" spans="1:11" ht="15.75">
      <c r="A47" s="64" t="s">
        <v>382</v>
      </c>
      <c r="B47" s="12"/>
      <c r="C47" s="64" t="s">
        <v>381</v>
      </c>
      <c r="D47" s="12"/>
      <c r="E47" s="12"/>
      <c r="F47" s="12"/>
      <c r="G47" s="12"/>
      <c r="H47" s="12"/>
      <c r="I47" s="12"/>
      <c r="J47" s="12"/>
    </row>
    <row r="48" spans="1:11" ht="15.75">
      <c r="A48" s="64"/>
      <c r="B48" s="12"/>
      <c r="C48" s="64"/>
      <c r="D48" s="12"/>
      <c r="E48" s="12"/>
      <c r="F48" s="12"/>
      <c r="G48" s="12"/>
      <c r="H48" s="12"/>
      <c r="I48" s="12"/>
      <c r="J48" s="12"/>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10"/>
  <sheetViews>
    <sheetView view="pageBreakPreview" zoomScale="70" zoomScaleNormal="80" zoomScaleSheetLayoutView="70" workbookViewId="0">
      <selection activeCell="H12" sqref="H12"/>
    </sheetView>
  </sheetViews>
  <sheetFormatPr defaultRowHeight="15"/>
  <cols>
    <col min="1" max="1" width="47.85546875" customWidth="1"/>
    <col min="2" max="2" width="15.28515625" customWidth="1"/>
    <col min="3" max="3" width="24.5703125" customWidth="1"/>
    <col min="4" max="4" width="26.5703125" customWidth="1"/>
    <col min="5" max="5" width="32.28515625" customWidth="1"/>
    <col min="6" max="6" width="22.42578125" customWidth="1"/>
    <col min="7" max="7" width="27" customWidth="1"/>
    <col min="8" max="8" width="39.85546875" customWidth="1"/>
    <col min="9" max="9" width="15.28515625" customWidth="1"/>
    <col min="10" max="10" width="24.5703125" customWidth="1"/>
    <col min="11" max="11" width="24.140625" customWidth="1"/>
    <col min="13" max="13"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ht="15.75" thickBot="1">
      <c r="A5" s="12"/>
      <c r="B5" s="12"/>
      <c r="C5" s="12"/>
      <c r="D5" s="12"/>
      <c r="E5" s="12"/>
      <c r="F5" s="12"/>
      <c r="G5" s="12"/>
      <c r="H5" s="12"/>
      <c r="I5" s="26"/>
    </row>
    <row r="6" spans="1:9" ht="18.75" thickBot="1">
      <c r="A6" s="285" t="str">
        <f>+'S&amp;D'!A12</f>
        <v>Liquid Transportation Pipeline Carriers</v>
      </c>
      <c r="B6" s="211"/>
      <c r="C6" s="12"/>
      <c r="D6" s="12"/>
      <c r="E6" s="12"/>
      <c r="F6" s="12"/>
      <c r="G6" s="12"/>
      <c r="H6" s="12"/>
      <c r="I6" s="12"/>
    </row>
    <row r="7" spans="1:9" ht="18">
      <c r="A7" s="30"/>
      <c r="B7" s="12"/>
      <c r="C7" s="12"/>
      <c r="D7" s="12"/>
      <c r="E7" s="12"/>
      <c r="F7" s="12"/>
      <c r="G7" s="12"/>
      <c r="H7" s="12"/>
      <c r="I7" s="12"/>
    </row>
    <row r="8" spans="1:9" ht="18.75" thickBot="1">
      <c r="A8" s="30"/>
      <c r="B8" s="12"/>
      <c r="C8" s="12"/>
      <c r="D8" s="28"/>
      <c r="E8" s="28"/>
      <c r="F8" s="28"/>
      <c r="G8" s="12"/>
      <c r="H8" s="12"/>
      <c r="I8" s="12"/>
    </row>
    <row r="9" spans="1:9" ht="20.25">
      <c r="A9" s="30"/>
      <c r="B9" s="12"/>
      <c r="C9" s="12"/>
      <c r="D9" s="12"/>
      <c r="E9" s="31" t="s">
        <v>185</v>
      </c>
      <c r="F9" s="12"/>
      <c r="G9" s="12"/>
      <c r="H9" s="12"/>
      <c r="I9" s="12"/>
    </row>
    <row r="10" spans="1:9" ht="18.75" thickBot="1">
      <c r="A10" s="30"/>
      <c r="B10" s="12"/>
      <c r="C10" s="12"/>
      <c r="D10" s="28"/>
      <c r="E10" s="32" t="s">
        <v>77</v>
      </c>
      <c r="F10" s="28"/>
      <c r="G10" s="12"/>
      <c r="H10" s="12"/>
      <c r="I10" s="12"/>
    </row>
    <row r="11" spans="1:9" ht="18">
      <c r="A11" s="30"/>
      <c r="B11" s="12"/>
      <c r="C11" s="12"/>
      <c r="D11" s="12"/>
      <c r="E11" s="12"/>
      <c r="F11" s="34"/>
      <c r="G11" s="34"/>
      <c r="H11" s="12"/>
      <c r="I11" s="12"/>
    </row>
    <row r="12" spans="1:9" ht="18">
      <c r="A12" s="30"/>
      <c r="B12" s="12"/>
      <c r="C12" s="12"/>
      <c r="D12" s="12" t="s">
        <v>0</v>
      </c>
      <c r="E12" s="12"/>
      <c r="F12" s="34"/>
      <c r="G12" s="34"/>
      <c r="H12" s="12"/>
      <c r="I12" s="12"/>
    </row>
    <row r="13" spans="1:9" ht="45.75" customHeight="1" thickBot="1">
      <c r="A13" s="33" t="s">
        <v>0</v>
      </c>
      <c r="B13" s="33" t="s">
        <v>0</v>
      </c>
      <c r="C13" s="33" t="s">
        <v>0</v>
      </c>
      <c r="D13" s="28"/>
      <c r="E13" s="28"/>
      <c r="F13" s="33" t="s">
        <v>0</v>
      </c>
      <c r="G13" s="33"/>
      <c r="H13" s="33"/>
      <c r="I13" s="12"/>
    </row>
    <row r="14" spans="1:9">
      <c r="A14" s="34" t="s">
        <v>0</v>
      </c>
      <c r="B14" s="34" t="s">
        <v>3</v>
      </c>
      <c r="C14" s="34" t="s">
        <v>5</v>
      </c>
      <c r="D14" s="34" t="s">
        <v>181</v>
      </c>
      <c r="E14" s="34" t="s">
        <v>182</v>
      </c>
      <c r="F14" s="34" t="s">
        <v>186</v>
      </c>
      <c r="G14" s="34" t="s">
        <v>19</v>
      </c>
      <c r="H14" s="34" t="s">
        <v>188</v>
      </c>
      <c r="I14" s="12"/>
    </row>
    <row r="15" spans="1:9">
      <c r="A15" s="34" t="s">
        <v>2</v>
      </c>
      <c r="B15" s="34" t="s">
        <v>4</v>
      </c>
      <c r="C15" s="34" t="s">
        <v>6</v>
      </c>
      <c r="D15" s="34" t="s">
        <v>461</v>
      </c>
      <c r="E15" s="34" t="s">
        <v>462</v>
      </c>
      <c r="F15" s="34" t="s">
        <v>131</v>
      </c>
      <c r="G15" s="34" t="s">
        <v>187</v>
      </c>
      <c r="H15" s="34" t="s">
        <v>177</v>
      </c>
      <c r="I15" s="12"/>
    </row>
    <row r="16" spans="1:9">
      <c r="A16" s="34"/>
      <c r="B16" s="34" t="s">
        <v>0</v>
      </c>
      <c r="C16" s="34" t="s">
        <v>0</v>
      </c>
      <c r="D16" s="34" t="s">
        <v>0</v>
      </c>
      <c r="E16" s="35" t="s">
        <v>463</v>
      </c>
      <c r="F16" s="35" t="s">
        <v>0</v>
      </c>
      <c r="G16" s="34" t="s">
        <v>192</v>
      </c>
      <c r="H16" s="35" t="s">
        <v>193</v>
      </c>
      <c r="I16" s="12"/>
    </row>
    <row r="17" spans="1:11" ht="18" customHeight="1" thickBot="1">
      <c r="A17" s="68" t="s">
        <v>0</v>
      </c>
      <c r="B17" s="37" t="s">
        <v>0</v>
      </c>
      <c r="C17" s="37" t="s">
        <v>0</v>
      </c>
      <c r="D17" s="32" t="s">
        <v>190</v>
      </c>
      <c r="E17" s="32" t="s">
        <v>191</v>
      </c>
      <c r="F17" s="32" t="s">
        <v>189</v>
      </c>
      <c r="G17" s="34" t="s">
        <v>97</v>
      </c>
      <c r="H17" s="162"/>
      <c r="I17" s="12"/>
    </row>
    <row r="18" spans="1:11">
      <c r="A18" s="38" t="s">
        <v>0</v>
      </c>
      <c r="B18" s="38" t="s">
        <v>0</v>
      </c>
      <c r="C18" s="38" t="s">
        <v>0</v>
      </c>
      <c r="D18" s="38" t="s">
        <v>7</v>
      </c>
      <c r="E18" s="38" t="s">
        <v>7</v>
      </c>
      <c r="F18" s="38" t="s">
        <v>0</v>
      </c>
      <c r="G18" s="69" t="s">
        <v>0</v>
      </c>
      <c r="H18" s="38" t="s">
        <v>0</v>
      </c>
      <c r="I18" s="12"/>
    </row>
    <row r="19" spans="1:11">
      <c r="A19" s="34"/>
      <c r="B19" s="34"/>
      <c r="C19" s="34"/>
      <c r="D19" s="34"/>
      <c r="E19" s="12"/>
      <c r="F19" s="34"/>
      <c r="G19" s="12"/>
      <c r="H19" s="12"/>
      <c r="I19" s="12"/>
      <c r="J19" t="s">
        <v>0</v>
      </c>
      <c r="K19" t="s">
        <v>0</v>
      </c>
    </row>
    <row r="20" spans="1:11">
      <c r="A20" s="12"/>
      <c r="B20" s="12"/>
      <c r="C20" s="12"/>
      <c r="D20" s="12"/>
      <c r="E20" s="12"/>
      <c r="F20" s="12"/>
      <c r="G20" s="12"/>
      <c r="H20" s="12" t="s">
        <v>0</v>
      </c>
      <c r="I20" s="12"/>
      <c r="J20" t="s">
        <v>0</v>
      </c>
      <c r="K20" t="s">
        <v>0</v>
      </c>
    </row>
    <row r="21" spans="1:11" ht="15.75">
      <c r="A21" s="64" t="str">
        <f>+'S&amp;D'!A22</f>
        <v>DCP Midstream LP</v>
      </c>
      <c r="B21" s="93" t="str">
        <f>+'S&amp;D'!B22</f>
        <v>DCP</v>
      </c>
      <c r="C21" s="34" t="str">
        <f>+'S&amp;D'!C22</f>
        <v>Pipeline MLPs</v>
      </c>
      <c r="D21" s="67">
        <f>+'Dividends '!H16</f>
        <v>7.2183552461974734E-2</v>
      </c>
      <c r="E21" s="396">
        <f>+'Single Stage Div Growth Model'!H17</f>
        <v>0</v>
      </c>
      <c r="F21" s="67">
        <f>+'Growth &amp; Inflation Rates'!F93</f>
        <v>4.1419999999999998E-2</v>
      </c>
      <c r="G21" s="67">
        <f t="shared" ref="G21:G30" si="0">(F21+E21)/2</f>
        <v>2.0709999999999999E-2</v>
      </c>
      <c r="H21" s="395">
        <f>D21*(1+(0.5*G21))+(0.67*E21)+(0.33*F21)</f>
        <v>8.6599613147718482E-2</v>
      </c>
      <c r="I21" s="12"/>
      <c r="J21" t="s">
        <v>0</v>
      </c>
      <c r="K21" t="s">
        <v>0</v>
      </c>
    </row>
    <row r="22" spans="1:11" ht="15.75">
      <c r="A22" s="64" t="str">
        <f>+'S&amp;D'!A23</f>
        <v>Energy Transfer LP</v>
      </c>
      <c r="B22" s="93" t="str">
        <f>+'S&amp;D'!B23</f>
        <v>ET</v>
      </c>
      <c r="C22" s="34" t="str">
        <f>+'S&amp;D'!C23</f>
        <v>Pipeline MLPs</v>
      </c>
      <c r="D22" s="67">
        <f>+'Dividends '!H17</f>
        <v>7.7506318449873643E-2</v>
      </c>
      <c r="E22" s="67">
        <f>+'Single Stage Div Growth Model'!H18</f>
        <v>0.1</v>
      </c>
      <c r="F22" s="67">
        <f>+F21</f>
        <v>4.1419999999999998E-2</v>
      </c>
      <c r="G22" s="67">
        <f t="shared" ref="G22:G26" si="1">(F22+E22)/2</f>
        <v>7.0709999999999995E-2</v>
      </c>
      <c r="H22" s="67">
        <f t="shared" ref="H22:H26" si="2">D22*(1+(0.5*G22))+(0.67*E22)+(0.33*F22)</f>
        <v>0.16091515433866893</v>
      </c>
      <c r="I22" s="12"/>
    </row>
    <row r="23" spans="1:11" ht="15.75">
      <c r="A23" s="64" t="str">
        <f>+'S&amp;D'!A24</f>
        <v>Enterprise Products Partnership LP</v>
      </c>
      <c r="B23" s="93" t="str">
        <f>+'S&amp;D'!B24</f>
        <v>EPD</v>
      </c>
      <c r="C23" s="34" t="str">
        <f>+'S&amp;D'!C24</f>
        <v>Pipeline MLPs</v>
      </c>
      <c r="D23" s="67">
        <f>+'Dividends '!H18</f>
        <v>8.2918739635157543E-2</v>
      </c>
      <c r="E23" s="67">
        <f>+'Single Stage Div Growth Model'!H19</f>
        <v>7.0000000000000007E-2</v>
      </c>
      <c r="F23" s="67">
        <f>+F21</f>
        <v>4.1419999999999998E-2</v>
      </c>
      <c r="G23" s="67">
        <f t="shared" si="1"/>
        <v>5.5710000000000003E-2</v>
      </c>
      <c r="H23" s="67">
        <f t="shared" si="2"/>
        <v>0.14579704112769487</v>
      </c>
      <c r="I23" s="12"/>
    </row>
    <row r="24" spans="1:11" ht="15.75">
      <c r="A24" s="64" t="str">
        <f>+'S&amp;D'!A25</f>
        <v>Hess Midstream LP</v>
      </c>
      <c r="B24" s="93" t="str">
        <f>+'S&amp;D'!B25</f>
        <v>HESM</v>
      </c>
      <c r="C24" s="34" t="str">
        <f>+'S&amp;D'!C25</f>
        <v>Pipeline MLPs</v>
      </c>
      <c r="D24" s="67">
        <f>+'Dividends '!H19</f>
        <v>8.0213903743315496E-2</v>
      </c>
      <c r="E24" s="67">
        <f>+'Single Stage Div Growth Model'!H20</f>
        <v>0.13</v>
      </c>
      <c r="F24" s="67">
        <f>+F21</f>
        <v>4.1419999999999998E-2</v>
      </c>
      <c r="G24" s="67">
        <f t="shared" si="1"/>
        <v>8.5710000000000008E-2</v>
      </c>
      <c r="H24" s="67">
        <f t="shared" si="2"/>
        <v>0.18442007058823531</v>
      </c>
      <c r="I24" s="12"/>
    </row>
    <row r="25" spans="1:11" ht="15.75">
      <c r="A25" s="64" t="str">
        <f>+'S&amp;D'!A26</f>
        <v>Holly Energy Partners LP</v>
      </c>
      <c r="B25" s="93" t="str">
        <f>+'S&amp;D'!B26</f>
        <v>HEP</v>
      </c>
      <c r="C25" s="34" t="str">
        <f>+'S&amp;D'!C26</f>
        <v>Pipeline MLPs</v>
      </c>
      <c r="D25" s="67">
        <f>+'Dividends '!H20</f>
        <v>7.7262693156732884E-2</v>
      </c>
      <c r="E25" s="67">
        <f>+'Single Stage Div Growth Model'!H21</f>
        <v>0.08</v>
      </c>
      <c r="F25" s="67">
        <f>+F21</f>
        <v>4.1419999999999998E-2</v>
      </c>
      <c r="G25" s="67">
        <f t="shared" si="1"/>
        <v>6.071E-2</v>
      </c>
      <c r="H25" s="67">
        <f t="shared" si="2"/>
        <v>0.14687660220750551</v>
      </c>
      <c r="I25" s="12"/>
    </row>
    <row r="26" spans="1:11" ht="15.75">
      <c r="A26" s="64" t="str">
        <f>+'S&amp;D'!A27</f>
        <v>Magellan Midstream Partners LP</v>
      </c>
      <c r="B26" s="93" t="str">
        <f>+'S&amp;D'!B27</f>
        <v>MMP</v>
      </c>
      <c r="C26" s="34" t="str">
        <f>+'S&amp;D'!C27</f>
        <v>Pipeline MLPs</v>
      </c>
      <c r="D26" s="67">
        <f>+'Dividends '!H21</f>
        <v>8.4047002589125661E-2</v>
      </c>
      <c r="E26" s="67">
        <f>+'Single Stage Div Growth Model'!H22</f>
        <v>6.5000000000000002E-2</v>
      </c>
      <c r="F26" s="67">
        <f>+F21</f>
        <v>4.1419999999999998E-2</v>
      </c>
      <c r="G26" s="67">
        <f t="shared" si="1"/>
        <v>5.321E-2</v>
      </c>
      <c r="H26" s="67">
        <f t="shared" si="2"/>
        <v>0.14350167309300935</v>
      </c>
      <c r="I26" s="12"/>
    </row>
    <row r="27" spans="1:11" ht="15.75">
      <c r="A27" s="64" t="str">
        <f>+'S&amp;D'!A28</f>
        <v>MPLX, LP</v>
      </c>
      <c r="B27" s="93" t="str">
        <f>+'S&amp;D'!B28</f>
        <v>MPLX</v>
      </c>
      <c r="C27" s="34" t="str">
        <f>+'S&amp;D'!C28</f>
        <v>Pipeline MLPs</v>
      </c>
      <c r="D27" s="67">
        <f>+'Dividends '!H22</f>
        <v>8.9829476248477466E-2</v>
      </c>
      <c r="E27" s="67">
        <f>+'Single Stage Div Growth Model'!H23</f>
        <v>0.09</v>
      </c>
      <c r="F27" s="67">
        <f>+F21</f>
        <v>4.1419999999999998E-2</v>
      </c>
      <c r="G27" s="67">
        <f t="shared" si="0"/>
        <v>6.5709999999999991E-2</v>
      </c>
      <c r="H27" s="67">
        <f t="shared" ref="H27:H30" si="3">D27*(1+(0.5*G27))+(0.67*E27)+(0.33*F27)</f>
        <v>0.16674942369062121</v>
      </c>
      <c r="I27" s="12"/>
      <c r="J27" t="s">
        <v>0</v>
      </c>
      <c r="K27" t="s">
        <v>0</v>
      </c>
    </row>
    <row r="28" spans="1:11" ht="15.75">
      <c r="A28" s="64" t="str">
        <f>+'S&amp;D'!A29</f>
        <v>NuStar Energy LP</v>
      </c>
      <c r="B28" s="93" t="str">
        <f>+'S&amp;D'!B29</f>
        <v>NS</v>
      </c>
      <c r="C28" s="34" t="str">
        <f>+'S&amp;D'!C29</f>
        <v>Pipeline MLPs</v>
      </c>
      <c r="D28" s="67">
        <f>+'Dividends '!H23</f>
        <v>0.1</v>
      </c>
      <c r="E28" s="396">
        <f>+'Single Stage Div Growth Model'!H24</f>
        <v>0</v>
      </c>
      <c r="F28" s="67">
        <f>+F21</f>
        <v>4.1419999999999998E-2</v>
      </c>
      <c r="G28" s="67">
        <f t="shared" si="0"/>
        <v>2.0709999999999999E-2</v>
      </c>
      <c r="H28" s="67">
        <f t="shared" si="3"/>
        <v>0.1147041</v>
      </c>
      <c r="I28" s="12"/>
      <c r="J28" t="s">
        <v>0</v>
      </c>
      <c r="K28" t="s">
        <v>0</v>
      </c>
    </row>
    <row r="29" spans="1:11" ht="15.75">
      <c r="A29" s="64" t="str">
        <f>+'S&amp;D'!A30</f>
        <v>Plains All American Pipeline LP</v>
      </c>
      <c r="B29" s="93" t="str">
        <f>+'S&amp;D'!B30</f>
        <v>PAA</v>
      </c>
      <c r="C29" s="34" t="str">
        <f>+'S&amp;D'!C30</f>
        <v>Pipeline MLPs</v>
      </c>
      <c r="D29" s="67">
        <f>+'Dividends '!H24</f>
        <v>9.0986394557823133E-2</v>
      </c>
      <c r="E29" s="396">
        <f>+'Single Stage Div Growth Model'!H25</f>
        <v>0</v>
      </c>
      <c r="F29" s="67">
        <f>+F21</f>
        <v>4.1419999999999998E-2</v>
      </c>
      <c r="G29" s="67">
        <f t="shared" si="0"/>
        <v>2.0709999999999999E-2</v>
      </c>
      <c r="H29" s="67">
        <f t="shared" si="3"/>
        <v>0.10559715867346939</v>
      </c>
      <c r="I29" s="12"/>
      <c r="J29" t="s">
        <v>0</v>
      </c>
      <c r="K29" t="s">
        <v>0</v>
      </c>
    </row>
    <row r="30" spans="1:11" ht="16.5" thickBot="1">
      <c r="A30" s="64" t="str">
        <f>+'S&amp;D'!A31</f>
        <v>Western Midstream Partners LP</v>
      </c>
      <c r="B30" s="93" t="str">
        <f>+'S&amp;D'!B31</f>
        <v>WES</v>
      </c>
      <c r="C30" s="34" t="str">
        <f>+'S&amp;D'!C31</f>
        <v>Pipeline MLPs</v>
      </c>
      <c r="D30" s="67">
        <f>+'Dividends '!H25</f>
        <v>8.0074487895716945E-2</v>
      </c>
      <c r="E30" s="67">
        <f>+'Single Stage Div Growth Model'!H26</f>
        <v>0.13500000000000001</v>
      </c>
      <c r="F30" s="67">
        <f>+F21</f>
        <v>4.1419999999999998E-2</v>
      </c>
      <c r="G30" s="67">
        <f t="shared" si="0"/>
        <v>8.8210000000000011E-2</v>
      </c>
      <c r="H30" s="394">
        <f t="shared" si="3"/>
        <v>0.18772477318435757</v>
      </c>
      <c r="I30" s="12"/>
      <c r="J30" s="11" t="s">
        <v>0</v>
      </c>
      <c r="K30" t="s">
        <v>0</v>
      </c>
    </row>
    <row r="31" spans="1:11" ht="15.75" thickTop="1">
      <c r="A31" s="12"/>
      <c r="B31" s="12"/>
      <c r="C31" s="12"/>
      <c r="D31" s="12"/>
      <c r="E31" s="12"/>
      <c r="F31" s="12"/>
      <c r="G31" s="202" t="s">
        <v>46</v>
      </c>
      <c r="H31" s="55">
        <v>0.18770000000000001</v>
      </c>
      <c r="I31" s="12"/>
    </row>
    <row r="32" spans="1:11">
      <c r="A32" s="12"/>
      <c r="B32" s="12"/>
      <c r="C32" s="14" t="s">
        <v>0</v>
      </c>
      <c r="D32" s="15" t="s">
        <v>0</v>
      </c>
      <c r="E32" s="15" t="s">
        <v>0</v>
      </c>
      <c r="F32" s="16" t="s">
        <v>0</v>
      </c>
      <c r="G32" s="16" t="s">
        <v>47</v>
      </c>
      <c r="H32" s="341">
        <v>8.6599999999999996E-2</v>
      </c>
      <c r="I32" s="12"/>
    </row>
    <row r="33" spans="1:9">
      <c r="A33" s="12"/>
      <c r="B33" s="12"/>
      <c r="D33" s="55" t="s">
        <v>0</v>
      </c>
      <c r="E33" s="50" t="s">
        <v>0</v>
      </c>
      <c r="F33" s="50" t="s">
        <v>0</v>
      </c>
      <c r="G33" s="14" t="s">
        <v>18</v>
      </c>
      <c r="H33" s="51">
        <f>MEDIAN(H21:H30)</f>
        <v>0.1463368216676002</v>
      </c>
      <c r="I33" s="12"/>
    </row>
    <row r="34" spans="1:9">
      <c r="A34" s="12"/>
      <c r="B34" s="12"/>
      <c r="D34" s="55" t="s">
        <v>0</v>
      </c>
      <c r="E34" s="50" t="s">
        <v>0</v>
      </c>
      <c r="F34" s="55" t="s">
        <v>0</v>
      </c>
      <c r="G34" s="14" t="s">
        <v>473</v>
      </c>
      <c r="H34" s="51">
        <f>AVERAGE(H21:H30)</f>
        <v>0.14428856100512807</v>
      </c>
      <c r="I34" s="12"/>
    </row>
    <row r="35" spans="1:9">
      <c r="A35" s="12"/>
      <c r="B35" s="12"/>
      <c r="C35" s="14"/>
      <c r="D35" s="18"/>
      <c r="E35" s="19"/>
      <c r="F35" s="18"/>
      <c r="G35" s="20"/>
      <c r="H35" s="20"/>
      <c r="I35" s="12"/>
    </row>
    <row r="36" spans="1:9" ht="15.75" thickBot="1">
      <c r="A36" s="12"/>
      <c r="B36" s="12"/>
      <c r="C36" s="12"/>
      <c r="D36" s="12"/>
      <c r="E36" s="12"/>
      <c r="F36" s="12"/>
      <c r="G36" s="12"/>
      <c r="H36" s="12"/>
      <c r="I36" s="12"/>
    </row>
    <row r="37" spans="1:9" ht="24" thickBot="1">
      <c r="A37" s="12"/>
      <c r="B37" s="12"/>
      <c r="C37" s="12"/>
      <c r="D37" s="12"/>
      <c r="F37" s="208"/>
      <c r="G37" s="209" t="s">
        <v>241</v>
      </c>
      <c r="H37" s="354">
        <v>0.14430000000000001</v>
      </c>
      <c r="I37" s="12"/>
    </row>
    <row r="38" spans="1:9">
      <c r="A38" s="12"/>
      <c r="B38" s="12"/>
      <c r="C38" s="12"/>
      <c r="D38" s="12"/>
      <c r="E38" s="12"/>
      <c r="F38" s="12"/>
      <c r="G38" s="12"/>
      <c r="H38" s="12"/>
      <c r="I38" s="12"/>
    </row>
    <row r="39" spans="1:9" ht="23.25">
      <c r="A39" s="23" t="s">
        <v>0</v>
      </c>
      <c r="B39" s="12"/>
      <c r="C39" s="12"/>
      <c r="D39" s="12"/>
      <c r="E39" s="12"/>
      <c r="F39" s="12"/>
      <c r="G39" s="22" t="s">
        <v>0</v>
      </c>
      <c r="H39" s="12"/>
      <c r="I39" s="12"/>
    </row>
    <row r="40" spans="1:9">
      <c r="A40" s="43"/>
      <c r="B40" s="12"/>
      <c r="C40" s="12"/>
      <c r="D40" s="12"/>
      <c r="E40" s="12"/>
      <c r="F40" s="12"/>
      <c r="G40" s="12"/>
      <c r="H40" s="12"/>
      <c r="I40" s="12"/>
    </row>
    <row r="41" spans="1:9" ht="20.25">
      <c r="A41" s="23" t="s">
        <v>327</v>
      </c>
      <c r="B41" s="12"/>
      <c r="C41" s="12"/>
      <c r="D41" s="12"/>
      <c r="E41" s="12"/>
      <c r="F41" s="12"/>
      <c r="G41" s="12"/>
      <c r="H41" s="12"/>
      <c r="I41" s="12"/>
    </row>
    <row r="42" spans="1:9">
      <c r="A42" s="43"/>
      <c r="B42" s="12"/>
      <c r="C42" s="12"/>
      <c r="D42" s="12"/>
      <c r="E42" s="12"/>
      <c r="F42" s="12"/>
      <c r="G42" s="12"/>
      <c r="H42" s="12"/>
      <c r="I42" s="12"/>
    </row>
    <row r="43" spans="1:9" ht="15.75">
      <c r="A43" s="64" t="s">
        <v>207</v>
      </c>
      <c r="B43" s="12"/>
      <c r="C43" s="12"/>
      <c r="D43" s="12"/>
      <c r="E43" s="12"/>
      <c r="F43" s="12"/>
      <c r="G43" s="12"/>
      <c r="H43" s="12"/>
      <c r="I43" s="12"/>
    </row>
    <row r="44" spans="1:9" ht="15.75">
      <c r="A44" s="64" t="s">
        <v>330</v>
      </c>
      <c r="B44" s="12"/>
      <c r="C44" s="12"/>
      <c r="D44" s="12"/>
      <c r="E44" s="12"/>
      <c r="F44" s="12"/>
      <c r="G44" s="12"/>
      <c r="H44" s="12"/>
      <c r="I44" s="12"/>
    </row>
    <row r="45" spans="1:9" ht="15.75">
      <c r="A45" s="64" t="s">
        <v>328</v>
      </c>
      <c r="B45" s="12"/>
      <c r="C45" s="12"/>
      <c r="D45" s="12"/>
      <c r="E45" s="12"/>
      <c r="F45" s="12"/>
      <c r="G45" s="12"/>
      <c r="H45" s="12"/>
      <c r="I45" s="12"/>
    </row>
    <row r="46" spans="1:9" ht="15.75">
      <c r="A46" s="64" t="s">
        <v>329</v>
      </c>
      <c r="B46" s="12"/>
      <c r="C46" s="12"/>
      <c r="D46" s="12"/>
      <c r="E46" s="12"/>
      <c r="F46" s="12"/>
      <c r="G46" s="12"/>
      <c r="H46" s="12"/>
      <c r="I46" s="12"/>
    </row>
    <row r="47" spans="1:9" ht="15.75">
      <c r="A47" s="64" t="s">
        <v>331</v>
      </c>
      <c r="B47" s="12"/>
      <c r="C47" s="12"/>
      <c r="D47" s="12"/>
      <c r="E47" s="12"/>
      <c r="F47" s="12"/>
      <c r="G47" s="12"/>
      <c r="H47" s="12"/>
      <c r="I47" s="12"/>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row r="51" spans="1:9">
      <c r="A51" s="12"/>
      <c r="B51" s="12"/>
      <c r="C51" s="12"/>
      <c r="D51" s="12"/>
      <c r="E51" s="12"/>
      <c r="F51" s="12"/>
      <c r="G51" s="12"/>
      <c r="H51" s="12"/>
      <c r="I51" s="12"/>
    </row>
    <row r="52" spans="1:9">
      <c r="A52" s="12"/>
      <c r="B52" s="12"/>
      <c r="C52" s="12"/>
      <c r="D52" s="12"/>
      <c r="E52" s="12"/>
      <c r="F52" s="12"/>
      <c r="G52" s="12"/>
      <c r="H52" s="12"/>
      <c r="I52" s="12"/>
    </row>
    <row r="53" spans="1:9">
      <c r="A53" s="12"/>
      <c r="B53" s="12"/>
      <c r="C53" s="12"/>
      <c r="D53" s="12"/>
      <c r="E53" s="12"/>
      <c r="F53" s="12"/>
      <c r="G53" s="12"/>
      <c r="H53" s="12"/>
      <c r="I53" s="12"/>
    </row>
    <row r="54" spans="1:9">
      <c r="A54" s="12"/>
      <c r="B54" s="12"/>
      <c r="C54" s="12"/>
      <c r="D54" s="12"/>
      <c r="E54" s="12"/>
      <c r="F54" s="12"/>
      <c r="G54" s="12"/>
      <c r="H54" s="12"/>
      <c r="I54" s="12"/>
    </row>
    <row r="55" spans="1:9">
      <c r="A55" s="12"/>
      <c r="B55" s="12"/>
      <c r="C55" s="12"/>
      <c r="D55" s="12"/>
      <c r="E55" s="12"/>
      <c r="F55" s="12"/>
      <c r="G55" s="12"/>
      <c r="H55" s="12"/>
      <c r="I55" s="12"/>
    </row>
    <row r="56" spans="1:9">
      <c r="A56" s="12"/>
      <c r="B56" s="12"/>
      <c r="C56" s="12"/>
      <c r="D56" s="12"/>
      <c r="E56" s="12"/>
      <c r="F56" s="12"/>
      <c r="G56" s="12"/>
      <c r="H56" s="12"/>
      <c r="I56" s="12"/>
    </row>
    <row r="57" spans="1:9">
      <c r="A57" s="12"/>
      <c r="B57" s="12"/>
      <c r="C57" s="12"/>
      <c r="D57" s="12"/>
      <c r="E57" s="12"/>
      <c r="F57" s="12"/>
      <c r="G57" s="12"/>
      <c r="H57" s="12"/>
      <c r="I57" s="12"/>
    </row>
    <row r="58" spans="1:9">
      <c r="A58" s="12"/>
      <c r="B58" s="12"/>
      <c r="C58" s="12"/>
      <c r="D58" s="12"/>
      <c r="E58" s="12"/>
      <c r="F58" s="12"/>
      <c r="G58" s="12"/>
      <c r="H58" s="12"/>
      <c r="I58" s="12"/>
    </row>
    <row r="59" spans="1:9">
      <c r="A59" s="12"/>
      <c r="B59" s="12"/>
      <c r="C59" s="12"/>
      <c r="D59" s="12"/>
      <c r="E59" s="12"/>
      <c r="F59" s="12"/>
      <c r="G59" s="12"/>
      <c r="H59" s="12"/>
      <c r="I59" s="12"/>
    </row>
    <row r="60" spans="1:9">
      <c r="A60" s="12"/>
      <c r="B60" s="12"/>
      <c r="C60" s="12"/>
      <c r="D60" s="12"/>
      <c r="E60" s="12"/>
      <c r="F60" s="12"/>
      <c r="G60" s="12"/>
      <c r="H60" s="12"/>
      <c r="I60" s="12"/>
    </row>
    <row r="61" spans="1:9">
      <c r="A61" s="12"/>
      <c r="B61" s="12"/>
      <c r="C61" s="12"/>
      <c r="D61" s="12"/>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c r="E64" s="12"/>
      <c r="F64" s="12"/>
      <c r="G64" s="12"/>
      <c r="H64" s="12"/>
      <c r="I64" s="12"/>
    </row>
    <row r="65" spans="1:9">
      <c r="A65" s="12"/>
      <c r="B65" s="12"/>
      <c r="C65" s="12"/>
      <c r="D65" s="12"/>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row r="107" spans="1:9">
      <c r="A107" s="12"/>
      <c r="B107" s="12"/>
      <c r="C107" s="12"/>
      <c r="D107" s="12"/>
      <c r="E107" s="12"/>
      <c r="F107" s="12"/>
      <c r="G107" s="12"/>
      <c r="H107" s="12"/>
      <c r="I107" s="12"/>
    </row>
    <row r="108" spans="1:9">
      <c r="A108" s="12"/>
      <c r="B108" s="12"/>
      <c r="C108" s="12"/>
      <c r="D108" s="12"/>
      <c r="E108" s="12"/>
      <c r="F108" s="12"/>
      <c r="G108" s="12"/>
      <c r="H108" s="12"/>
      <c r="I108" s="12"/>
    </row>
    <row r="109" spans="1:9">
      <c r="A109" s="12"/>
      <c r="B109" s="12"/>
      <c r="C109" s="12"/>
      <c r="D109" s="12"/>
      <c r="E109" s="12"/>
      <c r="F109" s="12"/>
      <c r="G109" s="12"/>
      <c r="H109" s="12"/>
      <c r="I109" s="12"/>
    </row>
    <row r="110" spans="1:9">
      <c r="A110" s="12"/>
      <c r="B110" s="12"/>
      <c r="C110" s="12"/>
      <c r="D110" s="12"/>
      <c r="E110" s="12"/>
      <c r="F110" s="12"/>
      <c r="G110" s="12"/>
      <c r="H110" s="12"/>
      <c r="I110" s="12"/>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O51"/>
  <sheetViews>
    <sheetView view="pageBreakPreview" zoomScale="60" zoomScaleNormal="80" workbookViewId="0">
      <selection activeCell="D31" sqref="D31"/>
    </sheetView>
  </sheetViews>
  <sheetFormatPr defaultRowHeight="15"/>
  <cols>
    <col min="1" max="1" width="21.5703125" customWidth="1"/>
    <col min="2" max="2" width="45.7109375" customWidth="1"/>
    <col min="3" max="3" width="20.85546875" customWidth="1"/>
    <col min="4" max="4" width="24" customWidth="1"/>
    <col min="5" max="5" width="29.28515625" customWidth="1"/>
    <col min="6" max="6" width="25.5703125" customWidth="1"/>
    <col min="7" max="7" width="20.140625" customWidth="1"/>
    <col min="8" max="9" width="27.28515625" customWidth="1"/>
    <col min="10" max="10" width="19.28515625" customWidth="1"/>
    <col min="11" max="11" width="21.28515625" customWidth="1"/>
    <col min="12" max="12" width="4.42578125" customWidth="1"/>
    <col min="13" max="13" width="22.7109375" customWidth="1"/>
    <col min="14" max="14" width="17.28515625" customWidth="1"/>
  </cols>
  <sheetData>
    <row r="1" spans="1:15" ht="20.25">
      <c r="A1" s="23" t="s">
        <v>1</v>
      </c>
      <c r="C1" s="12"/>
      <c r="D1" s="12"/>
      <c r="E1" s="12"/>
      <c r="F1" s="12"/>
      <c r="G1" s="12"/>
      <c r="H1" s="12"/>
      <c r="I1" s="12"/>
      <c r="J1" s="12"/>
      <c r="K1" s="12"/>
      <c r="L1" s="12"/>
      <c r="M1" s="12"/>
      <c r="N1" s="12"/>
      <c r="O1" s="12"/>
    </row>
    <row r="2" spans="1:15" ht="15.75">
      <c r="A2" s="64" t="s">
        <v>9</v>
      </c>
      <c r="C2" s="12"/>
      <c r="D2" s="12"/>
      <c r="E2" s="12"/>
      <c r="F2" s="12"/>
      <c r="G2" s="12"/>
      <c r="H2" s="12"/>
      <c r="I2" s="12"/>
      <c r="J2" s="12"/>
      <c r="K2" s="12"/>
      <c r="L2" s="12"/>
      <c r="M2" s="12"/>
      <c r="N2" s="12"/>
      <c r="O2" s="12"/>
    </row>
    <row r="3" spans="1:15">
      <c r="A3" s="25" t="s">
        <v>63</v>
      </c>
      <c r="C3" s="12"/>
      <c r="D3" s="12"/>
      <c r="E3" s="12"/>
      <c r="F3" s="12"/>
      <c r="G3" s="12"/>
      <c r="H3" s="12"/>
      <c r="I3" s="12"/>
      <c r="J3" s="12"/>
      <c r="K3" s="12"/>
      <c r="L3" s="12"/>
      <c r="M3" s="12"/>
      <c r="N3" s="12"/>
      <c r="O3" s="12"/>
    </row>
    <row r="4" spans="1:15">
      <c r="A4" s="12"/>
      <c r="C4" s="12"/>
      <c r="D4" s="12"/>
      <c r="E4" s="26" t="s">
        <v>0</v>
      </c>
      <c r="F4" s="12"/>
      <c r="G4" s="12"/>
      <c r="H4" s="12"/>
      <c r="I4" s="12"/>
      <c r="J4" s="12"/>
      <c r="K4" s="12"/>
      <c r="L4" s="12"/>
      <c r="M4" s="12"/>
      <c r="N4" s="12"/>
      <c r="O4" s="12"/>
    </row>
    <row r="5" spans="1:15" ht="16.5" thickBot="1">
      <c r="A5" s="64"/>
      <c r="C5" s="12"/>
      <c r="D5" s="12"/>
      <c r="E5" s="12"/>
      <c r="F5" s="12"/>
      <c r="G5" s="12"/>
      <c r="H5" s="12"/>
      <c r="I5" s="12"/>
      <c r="J5" s="12"/>
      <c r="K5" s="12"/>
      <c r="L5" s="12"/>
      <c r="M5" s="12"/>
      <c r="N5" s="12"/>
      <c r="O5" s="12"/>
    </row>
    <row r="6" spans="1:15" ht="18.75" thickBot="1">
      <c r="A6" s="285" t="str">
        <f>+'S&amp;D'!A12</f>
        <v>Liquid Transportation Pipeline Carriers</v>
      </c>
      <c r="B6" s="203"/>
      <c r="C6" s="12"/>
      <c r="D6" s="12"/>
      <c r="E6" s="12"/>
      <c r="F6" s="12"/>
      <c r="G6" s="12"/>
      <c r="H6" s="12"/>
      <c r="I6" s="12"/>
    </row>
    <row r="7" spans="1:15" ht="16.5" thickBot="1">
      <c r="A7" s="64"/>
      <c r="C7" s="12"/>
      <c r="D7" s="28"/>
      <c r="E7" s="28"/>
      <c r="F7" s="28"/>
      <c r="G7" s="12"/>
      <c r="H7" s="12"/>
      <c r="I7" s="12"/>
    </row>
    <row r="8" spans="1:15" ht="20.25">
      <c r="C8" s="12"/>
      <c r="D8" s="12"/>
      <c r="E8" s="31" t="s">
        <v>434</v>
      </c>
      <c r="F8" s="12"/>
      <c r="G8" s="12"/>
      <c r="H8" s="12"/>
      <c r="I8" s="12"/>
    </row>
    <row r="9" spans="1:15" ht="18.75" thickBot="1">
      <c r="B9" s="30"/>
      <c r="C9" s="12"/>
      <c r="D9" s="28"/>
      <c r="E9" s="32" t="s">
        <v>77</v>
      </c>
      <c r="F9" s="28"/>
      <c r="G9" s="12"/>
      <c r="H9" s="12"/>
      <c r="I9" s="12"/>
    </row>
    <row r="10" spans="1:15" ht="15.75" thickBot="1">
      <c r="B10" s="33" t="s">
        <v>0</v>
      </c>
      <c r="C10" s="33" t="s">
        <v>0</v>
      </c>
      <c r="D10" s="33" t="s">
        <v>0</v>
      </c>
      <c r="E10" s="33" t="s">
        <v>0</v>
      </c>
      <c r="F10" s="33" t="s">
        <v>0</v>
      </c>
      <c r="G10" s="33"/>
      <c r="H10" s="33" t="s">
        <v>0</v>
      </c>
      <c r="I10" s="28"/>
      <c r="J10" s="162"/>
    </row>
    <row r="11" spans="1:15">
      <c r="B11" s="34" t="s">
        <v>0</v>
      </c>
      <c r="C11" s="34" t="s">
        <v>3</v>
      </c>
      <c r="D11" s="34" t="s">
        <v>363</v>
      </c>
      <c r="E11" s="432" t="s">
        <v>364</v>
      </c>
      <c r="F11" s="34" t="s">
        <v>236</v>
      </c>
      <c r="G11" s="34" t="s">
        <v>27</v>
      </c>
      <c r="H11" s="432" t="s">
        <v>433</v>
      </c>
      <c r="I11" s="34" t="s">
        <v>433</v>
      </c>
      <c r="J11" s="34" t="s">
        <v>27</v>
      </c>
    </row>
    <row r="12" spans="1:15" ht="15.75" thickBot="1">
      <c r="B12" s="36" t="s">
        <v>2</v>
      </c>
      <c r="C12" s="36" t="s">
        <v>4</v>
      </c>
      <c r="D12" s="36" t="s">
        <v>28</v>
      </c>
      <c r="E12" s="433" t="s">
        <v>172</v>
      </c>
      <c r="F12" s="36" t="s">
        <v>436</v>
      </c>
      <c r="G12" s="36" t="s">
        <v>30</v>
      </c>
      <c r="H12" s="433" t="s">
        <v>435</v>
      </c>
      <c r="I12" s="36" t="s">
        <v>29</v>
      </c>
      <c r="J12" s="36" t="s">
        <v>30</v>
      </c>
    </row>
    <row r="13" spans="1:15">
      <c r="B13" s="38" t="s">
        <v>0</v>
      </c>
      <c r="C13" s="38" t="s">
        <v>0</v>
      </c>
      <c r="D13" s="39" t="s">
        <v>116</v>
      </c>
      <c r="E13" s="434" t="s">
        <v>117</v>
      </c>
      <c r="F13" s="38" t="s">
        <v>0</v>
      </c>
      <c r="G13" s="38" t="s">
        <v>0</v>
      </c>
      <c r="H13" s="434" t="s">
        <v>117</v>
      </c>
      <c r="I13" s="38" t="s">
        <v>0</v>
      </c>
      <c r="J13" s="38" t="s">
        <v>0</v>
      </c>
    </row>
    <row r="14" spans="1:15">
      <c r="B14" s="34"/>
      <c r="C14" s="34"/>
      <c r="D14" s="34"/>
      <c r="E14" s="435"/>
      <c r="F14" s="34"/>
      <c r="G14" s="34"/>
      <c r="H14" s="435"/>
      <c r="I14" s="34"/>
      <c r="J14" s="34"/>
    </row>
    <row r="15" spans="1:15">
      <c r="B15" s="12"/>
      <c r="C15" s="12"/>
      <c r="D15" s="12"/>
      <c r="E15" s="436"/>
      <c r="F15" s="12"/>
      <c r="G15" s="12"/>
      <c r="H15" s="436"/>
      <c r="I15" s="12"/>
      <c r="J15" s="12"/>
    </row>
    <row r="16" spans="1:15" ht="15.75">
      <c r="B16" s="64" t="str">
        <f>+'S&amp;D'!A22</f>
        <v>DCP Midstream LP</v>
      </c>
      <c r="C16" s="93" t="str">
        <f>+'S&amp;D'!B22</f>
        <v>DCP</v>
      </c>
      <c r="D16" s="198">
        <f>+'S&amp;D'!G22</f>
        <v>38.79</v>
      </c>
      <c r="E16" s="438">
        <v>78.45</v>
      </c>
      <c r="F16" s="75">
        <f>D16/E16</f>
        <v>0.49445506692160607</v>
      </c>
      <c r="G16" s="56">
        <f t="shared" ref="G16:G25" si="0">1/F16</f>
        <v>2.0224284609435426</v>
      </c>
      <c r="H16" s="437">
        <v>25.11</v>
      </c>
      <c r="I16" s="75">
        <f>D16/H16</f>
        <v>1.5448028673835126</v>
      </c>
      <c r="J16" s="56">
        <f t="shared" ref="J16:J25" si="1">1/I16</f>
        <v>0.64733178654292345</v>
      </c>
    </row>
    <row r="17" spans="2:10" ht="15.75">
      <c r="B17" s="64" t="str">
        <f>+'S&amp;D'!A23</f>
        <v>Energy Transfer LP</v>
      </c>
      <c r="C17" s="93" t="str">
        <f>+'S&amp;D'!B23</f>
        <v>ET</v>
      </c>
      <c r="D17" s="198">
        <f>+'S&amp;D'!G23</f>
        <v>11.87</v>
      </c>
      <c r="E17" s="438">
        <v>30.35</v>
      </c>
      <c r="F17" s="75">
        <f t="shared" ref="F17:F21" si="2">D17/E17</f>
        <v>0.39110378912685334</v>
      </c>
      <c r="G17" s="56">
        <f t="shared" si="0"/>
        <v>2.5568660488626791</v>
      </c>
      <c r="H17" s="438">
        <v>10.7</v>
      </c>
      <c r="I17" s="75">
        <f t="shared" ref="I17:I25" si="3">D17/H17</f>
        <v>1.1093457943925233</v>
      </c>
      <c r="J17" s="56">
        <f t="shared" si="1"/>
        <v>0.90143218197135633</v>
      </c>
    </row>
    <row r="18" spans="2:10" ht="15.75">
      <c r="B18" s="64" t="str">
        <f>+'S&amp;D'!A24</f>
        <v>Enterprise Products Partnership LP</v>
      </c>
      <c r="C18" s="93" t="str">
        <f>+'S&amp;D'!B24</f>
        <v>EPD</v>
      </c>
      <c r="D18" s="198">
        <f>+'S&amp;D'!G24</f>
        <v>24.12</v>
      </c>
      <c r="E18" s="438">
        <v>26.45</v>
      </c>
      <c r="F18" s="75">
        <f t="shared" si="2"/>
        <v>0.91190926275992445</v>
      </c>
      <c r="G18" s="56">
        <f t="shared" si="0"/>
        <v>1.0966003316749584</v>
      </c>
      <c r="H18" s="438">
        <v>12.2</v>
      </c>
      <c r="I18" s="75">
        <f t="shared" si="3"/>
        <v>1.9770491803278691</v>
      </c>
      <c r="J18" s="56">
        <f t="shared" si="1"/>
        <v>0.50580431177446095</v>
      </c>
    </row>
    <row r="19" spans="2:10" ht="15.75">
      <c r="B19" s="64" t="str">
        <f>+'S&amp;D'!A25</f>
        <v>Hess Midstream LP</v>
      </c>
      <c r="C19" s="93" t="str">
        <f>+'S&amp;D'!B25</f>
        <v>HESM</v>
      </c>
      <c r="D19" s="198">
        <f>+'S&amp;D'!G25</f>
        <v>29.92</v>
      </c>
      <c r="E19" s="438">
        <v>5.45</v>
      </c>
      <c r="F19" s="430">
        <f t="shared" si="2"/>
        <v>5.4899082568807342</v>
      </c>
      <c r="G19" s="56">
        <f t="shared" si="0"/>
        <v>0.18215240641711228</v>
      </c>
      <c r="H19" s="437">
        <v>0.85</v>
      </c>
      <c r="I19" s="430">
        <f t="shared" si="3"/>
        <v>35.200000000000003</v>
      </c>
      <c r="J19" s="56">
        <f t="shared" si="1"/>
        <v>2.8409090909090908E-2</v>
      </c>
    </row>
    <row r="20" spans="2:10" ht="15.75">
      <c r="B20" s="64" t="str">
        <f>+'S&amp;D'!A26</f>
        <v>Holly Energy Partners LP</v>
      </c>
      <c r="C20" s="93" t="str">
        <f>+'S&amp;D'!B26</f>
        <v>HEP</v>
      </c>
      <c r="D20" s="198">
        <f>+'S&amp;D'!G26</f>
        <v>18.12</v>
      </c>
      <c r="E20" s="437">
        <v>4.3</v>
      </c>
      <c r="F20" s="75">
        <f t="shared" si="2"/>
        <v>4.213953488372093</v>
      </c>
      <c r="G20" s="56">
        <f t="shared" si="0"/>
        <v>0.23730684326710816</v>
      </c>
      <c r="H20" s="438">
        <v>5.91</v>
      </c>
      <c r="I20" s="75">
        <f t="shared" si="3"/>
        <v>3.0659898477157363</v>
      </c>
      <c r="J20" s="56">
        <f t="shared" si="1"/>
        <v>0.32615894039735094</v>
      </c>
    </row>
    <row r="21" spans="2:10" ht="15.75">
      <c r="B21" s="64" t="str">
        <f>+'S&amp;D'!A27</f>
        <v>Magellan Midstream Partners LP</v>
      </c>
      <c r="C21" s="93" t="str">
        <f>+'S&amp;D'!B27</f>
        <v>MMP</v>
      </c>
      <c r="D21" s="198">
        <f>+'S&amp;D'!G27</f>
        <v>50.21</v>
      </c>
      <c r="E21" s="438">
        <v>15.55</v>
      </c>
      <c r="F21" s="75">
        <f t="shared" si="2"/>
        <v>3.2289389067524117</v>
      </c>
      <c r="G21" s="56">
        <f t="shared" si="0"/>
        <v>0.30969926309500101</v>
      </c>
      <c r="H21" s="438">
        <v>7.9</v>
      </c>
      <c r="I21" s="75">
        <f t="shared" si="3"/>
        <v>6.3556962025316457</v>
      </c>
      <c r="J21" s="56">
        <f t="shared" si="1"/>
        <v>0.15733917546305518</v>
      </c>
    </row>
    <row r="22" spans="2:10" ht="15.75">
      <c r="B22" s="64" t="str">
        <f>+'S&amp;D'!A28</f>
        <v>MPLX, LP</v>
      </c>
      <c r="C22" s="93" t="str">
        <f>+'S&amp;D'!B28</f>
        <v>MPLX</v>
      </c>
      <c r="D22" s="198">
        <f>+'S&amp;D'!G28</f>
        <v>32.840000000000003</v>
      </c>
      <c r="E22" s="438">
        <v>11.58</v>
      </c>
      <c r="F22" s="75">
        <f t="shared" ref="F22:F25" si="4">D22/E22</f>
        <v>2.835924006908463</v>
      </c>
      <c r="G22" s="56">
        <f t="shared" si="0"/>
        <v>0.35261875761266748</v>
      </c>
      <c r="H22" s="438">
        <v>12.51</v>
      </c>
      <c r="I22" s="75">
        <f t="shared" si="3"/>
        <v>2.6250999200639491</v>
      </c>
      <c r="J22" s="56">
        <f t="shared" si="1"/>
        <v>0.38093788063337392</v>
      </c>
    </row>
    <row r="23" spans="2:10" ht="15.75">
      <c r="B23" s="64" t="str">
        <f>+'S&amp;D'!A29</f>
        <v>NuStar Energy LP</v>
      </c>
      <c r="C23" s="93" t="str">
        <f>+'S&amp;D'!B29</f>
        <v>NS</v>
      </c>
      <c r="D23" s="198">
        <f>+'S&amp;D'!G29</f>
        <v>16</v>
      </c>
      <c r="E23" s="438">
        <v>15.25</v>
      </c>
      <c r="F23" s="75">
        <f t="shared" si="4"/>
        <v>1.0491803278688525</v>
      </c>
      <c r="G23" s="56">
        <f t="shared" si="0"/>
        <v>0.953125</v>
      </c>
      <c r="H23" s="438">
        <v>1.35</v>
      </c>
      <c r="I23" s="75">
        <f t="shared" si="3"/>
        <v>11.851851851851851</v>
      </c>
      <c r="J23" s="56">
        <f t="shared" si="1"/>
        <v>8.4375000000000006E-2</v>
      </c>
    </row>
    <row r="24" spans="2:10" ht="15.75">
      <c r="B24" s="64" t="str">
        <f>+'S&amp;D'!A30</f>
        <v>Plains All American Pipeline LP</v>
      </c>
      <c r="C24" s="93" t="str">
        <f>+'S&amp;D'!B30</f>
        <v>PAA</v>
      </c>
      <c r="D24" s="198">
        <f>+'S&amp;D'!G30</f>
        <v>11.76</v>
      </c>
      <c r="E24" s="437">
        <v>83.1</v>
      </c>
      <c r="F24" s="430">
        <f t="shared" si="4"/>
        <v>0.14151624548736463</v>
      </c>
      <c r="G24" s="56">
        <f t="shared" si="0"/>
        <v>7.066326530612244</v>
      </c>
      <c r="H24" s="438">
        <v>11.25</v>
      </c>
      <c r="I24" s="430">
        <f t="shared" si="3"/>
        <v>1.0453333333333332</v>
      </c>
      <c r="J24" s="56">
        <f t="shared" si="1"/>
        <v>0.95663265306122458</v>
      </c>
    </row>
    <row r="25" spans="2:10" ht="15.75">
      <c r="B25" s="64" t="str">
        <f>+'S&amp;D'!A31</f>
        <v>Western Midstream Partners LP</v>
      </c>
      <c r="C25" s="93" t="str">
        <f>+'S&amp;D'!B31</f>
        <v>WES</v>
      </c>
      <c r="D25" s="198">
        <f>+'S&amp;D'!G31</f>
        <v>26.85</v>
      </c>
      <c r="E25" s="438">
        <v>8.6</v>
      </c>
      <c r="F25" s="75">
        <f t="shared" si="4"/>
        <v>3.1220930232558142</v>
      </c>
      <c r="G25" s="56">
        <f t="shared" si="0"/>
        <v>0.32029795158286778</v>
      </c>
      <c r="H25" s="438">
        <v>7.5</v>
      </c>
      <c r="I25" s="75">
        <f t="shared" si="3"/>
        <v>3.58</v>
      </c>
      <c r="J25" s="56">
        <f t="shared" si="1"/>
        <v>0.27932960893854747</v>
      </c>
    </row>
    <row r="26" spans="2:10" ht="11.25" customHeight="1" thickBot="1">
      <c r="B26" s="12"/>
      <c r="C26" s="72"/>
      <c r="D26" s="72"/>
      <c r="E26" s="439"/>
      <c r="F26" s="431"/>
      <c r="G26" s="431"/>
      <c r="H26" s="439"/>
      <c r="I26" s="431"/>
      <c r="J26" s="445"/>
    </row>
    <row r="27" spans="2:10" ht="15.75" thickTop="1">
      <c r="B27" s="12"/>
      <c r="D27" s="14" t="s">
        <v>46</v>
      </c>
      <c r="E27" s="440">
        <v>83.1</v>
      </c>
      <c r="F27" s="73">
        <v>5.49</v>
      </c>
      <c r="G27" s="440">
        <v>706.63</v>
      </c>
      <c r="H27" s="440">
        <v>25.11</v>
      </c>
      <c r="I27" s="73">
        <v>35.200000000000003</v>
      </c>
      <c r="J27" s="440">
        <v>95.66</v>
      </c>
    </row>
    <row r="28" spans="2:10">
      <c r="B28" s="12"/>
      <c r="D28" s="383" t="s">
        <v>47</v>
      </c>
      <c r="E28" s="441">
        <v>4.3</v>
      </c>
      <c r="F28" s="388">
        <v>0.14000000000000001</v>
      </c>
      <c r="G28" s="441">
        <v>18.22</v>
      </c>
      <c r="H28" s="441">
        <v>0.85</v>
      </c>
      <c r="I28" s="388">
        <v>1.05</v>
      </c>
      <c r="J28" s="441">
        <v>2.84</v>
      </c>
    </row>
    <row r="29" spans="2:10">
      <c r="B29" s="12"/>
      <c r="D29" s="14" t="s">
        <v>18</v>
      </c>
      <c r="E29" s="442" t="s">
        <v>0</v>
      </c>
      <c r="F29" s="21">
        <f>MEDIAN(F16:F25)</f>
        <v>1.9425521673886577</v>
      </c>
      <c r="G29" s="56">
        <f>MEDIAN(G16:G25)</f>
        <v>0.65287187880633368</v>
      </c>
      <c r="H29" s="442" t="s">
        <v>0</v>
      </c>
      <c r="I29" s="18">
        <f>MEDIAN(I16:I25)</f>
        <v>2.8455448838898425</v>
      </c>
      <c r="J29" s="56">
        <f>MEDIAN(J16:J25)</f>
        <v>0.35354841051536245</v>
      </c>
    </row>
    <row r="30" spans="2:10">
      <c r="B30" s="12"/>
      <c r="D30" s="14" t="s">
        <v>473</v>
      </c>
      <c r="E30" s="443" t="s">
        <v>0</v>
      </c>
      <c r="F30" s="19">
        <f>AVERAGE(F16:F25)</f>
        <v>2.1878982374334117</v>
      </c>
      <c r="G30" s="351">
        <f>AVERAGE(G16:G25)</f>
        <v>1.5097421594068179</v>
      </c>
      <c r="H30" s="443" t="s">
        <v>0</v>
      </c>
      <c r="I30" s="18">
        <f>AVERAGE(I16:I25)</f>
        <v>6.8355168997600417</v>
      </c>
      <c r="J30" s="351">
        <f>AVERAGE(J16:J25)</f>
        <v>0.42677506296913836</v>
      </c>
    </row>
    <row r="31" spans="2:10">
      <c r="B31" s="12"/>
      <c r="C31" s="12"/>
      <c r="D31" s="12"/>
      <c r="E31" s="12"/>
      <c r="F31" s="12"/>
      <c r="G31" s="12"/>
      <c r="H31" s="12"/>
      <c r="I31" s="12"/>
    </row>
    <row r="32" spans="2:10">
      <c r="B32" s="12"/>
      <c r="C32" s="12"/>
      <c r="D32" s="12"/>
      <c r="E32" s="12"/>
      <c r="F32" s="12"/>
      <c r="G32" s="12"/>
      <c r="H32" s="12"/>
      <c r="I32" s="12"/>
    </row>
    <row r="33" spans="1:15" ht="15.75" thickBot="1">
      <c r="B33" s="12"/>
      <c r="C33" s="12"/>
      <c r="D33" s="12"/>
      <c r="E33" s="12"/>
      <c r="F33" s="12"/>
      <c r="G33" s="12"/>
      <c r="I33" s="12"/>
    </row>
    <row r="34" spans="1:15" ht="21" thickBot="1">
      <c r="B34" s="78" t="s">
        <v>0</v>
      </c>
      <c r="C34" s="12"/>
      <c r="D34" s="23" t="s">
        <v>127</v>
      </c>
      <c r="E34" s="23"/>
      <c r="F34" s="257">
        <v>2.19</v>
      </c>
      <c r="G34" s="444"/>
      <c r="I34" s="257">
        <v>6.84</v>
      </c>
    </row>
    <row r="35" spans="1:15" ht="16.5">
      <c r="B35" s="78" t="s">
        <v>0</v>
      </c>
      <c r="C35" s="12"/>
      <c r="D35" s="12"/>
      <c r="E35" s="12"/>
      <c r="F35" s="12"/>
      <c r="G35" s="12"/>
      <c r="I35" s="12"/>
    </row>
    <row r="36" spans="1:15" ht="16.5">
      <c r="B36" s="78"/>
      <c r="C36" s="12"/>
      <c r="D36" s="12"/>
      <c r="E36" s="12"/>
      <c r="F36" s="12"/>
      <c r="G36" s="12"/>
      <c r="I36" s="12"/>
    </row>
    <row r="37" spans="1:15" ht="16.5">
      <c r="A37" s="110" t="s">
        <v>437</v>
      </c>
      <c r="B37" s="78"/>
      <c r="C37" s="12"/>
      <c r="D37" s="12"/>
      <c r="E37" s="12"/>
      <c r="F37" s="12"/>
      <c r="G37" s="12"/>
      <c r="I37" s="12"/>
    </row>
    <row r="38" spans="1:15" ht="16.5">
      <c r="A38" s="110" t="s">
        <v>368</v>
      </c>
      <c r="B38" s="78"/>
      <c r="C38" s="12"/>
      <c r="D38" s="12"/>
      <c r="E38" s="12"/>
      <c r="F38" s="12"/>
      <c r="G38" s="12"/>
      <c r="H38" s="12"/>
      <c r="I38" s="12"/>
    </row>
    <row r="39" spans="1:15" ht="16.5">
      <c r="B39" s="78"/>
      <c r="C39" s="12"/>
      <c r="D39" s="12"/>
      <c r="E39" s="12"/>
      <c r="F39" s="12"/>
      <c r="G39" s="12"/>
      <c r="H39" s="12"/>
      <c r="I39" s="12"/>
    </row>
    <row r="40" spans="1:15" ht="16.5">
      <c r="A40" s="110" t="s">
        <v>438</v>
      </c>
      <c r="B40" s="78"/>
      <c r="C40" s="12"/>
      <c r="D40" s="12"/>
      <c r="E40" s="12"/>
      <c r="F40" s="12"/>
      <c r="G40" s="12"/>
      <c r="H40" s="12"/>
      <c r="I40" s="12"/>
    </row>
    <row r="41" spans="1:15" ht="16.5">
      <c r="A41" s="110" t="s">
        <v>366</v>
      </c>
      <c r="B41" s="78"/>
      <c r="C41" s="12"/>
      <c r="D41" s="12"/>
      <c r="E41" s="12"/>
      <c r="F41" s="12"/>
      <c r="G41" s="12"/>
      <c r="H41" s="12"/>
      <c r="I41" s="12"/>
    </row>
    <row r="42" spans="1:15" ht="16.5">
      <c r="A42" s="110" t="s">
        <v>367</v>
      </c>
      <c r="B42" s="78"/>
      <c r="C42" s="12"/>
      <c r="D42" s="12"/>
      <c r="E42" s="12"/>
      <c r="F42" s="12"/>
      <c r="G42" s="12"/>
      <c r="H42" s="12"/>
      <c r="I42" s="12"/>
    </row>
    <row r="43" spans="1:15">
      <c r="B43" s="12"/>
      <c r="C43" s="12"/>
      <c r="D43" s="12"/>
      <c r="E43" s="12"/>
      <c r="F43" s="12"/>
      <c r="G43" s="12"/>
      <c r="H43" s="12"/>
      <c r="I43" s="12"/>
      <c r="J43" s="12"/>
      <c r="K43" s="12"/>
      <c r="L43" s="12"/>
      <c r="M43" s="12"/>
      <c r="N43" s="12"/>
      <c r="O43" s="12"/>
    </row>
    <row r="44" spans="1:15">
      <c r="B44" s="12"/>
      <c r="C44" s="12"/>
      <c r="D44" s="12"/>
      <c r="E44" s="12"/>
      <c r="F44" s="12"/>
      <c r="G44" s="12"/>
      <c r="H44" s="12"/>
      <c r="I44" s="12"/>
      <c r="J44" s="12"/>
      <c r="K44" s="12"/>
      <c r="L44" s="12"/>
      <c r="M44" s="12"/>
      <c r="N44" s="12"/>
      <c r="O44" s="12"/>
    </row>
    <row r="45" spans="1:15" ht="16.5">
      <c r="B45" s="78"/>
      <c r="C45" s="12"/>
      <c r="D45" s="12"/>
      <c r="E45" s="12"/>
      <c r="F45" s="12"/>
      <c r="G45" s="12"/>
      <c r="H45" s="12"/>
      <c r="I45" s="12"/>
    </row>
    <row r="49" spans="1:3" ht="15.75">
      <c r="A49" s="110"/>
      <c r="B49" s="300"/>
      <c r="C49" s="299" t="s">
        <v>0</v>
      </c>
    </row>
    <row r="50" spans="1:3" ht="15.75">
      <c r="C50" s="299" t="s">
        <v>0</v>
      </c>
    </row>
    <row r="51" spans="1:3" ht="15.75">
      <c r="C51" s="299" t="s">
        <v>0</v>
      </c>
    </row>
  </sheetData>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zoomScale="80" zoomScaleNormal="80" zoomScaleSheetLayoutView="80" workbookViewId="0">
      <selection activeCell="G14" sqref="G14"/>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ht="17.25" customHeight="1">
      <c r="A3" s="25" t="s">
        <v>63</v>
      </c>
      <c r="C3" s="12"/>
      <c r="D3" s="12"/>
      <c r="E3" s="12"/>
      <c r="F3" s="12"/>
      <c r="G3" s="12"/>
      <c r="H3" s="12"/>
      <c r="I3" s="12"/>
      <c r="J3" s="12"/>
      <c r="K3" s="12"/>
    </row>
    <row r="4" spans="1:11" ht="17.25" customHeight="1">
      <c r="B4" s="25"/>
      <c r="C4" s="12"/>
      <c r="D4" s="12"/>
      <c r="E4" s="12"/>
      <c r="F4" s="12"/>
      <c r="G4" s="12"/>
      <c r="H4" s="12"/>
      <c r="I4" s="12"/>
      <c r="J4" s="12"/>
      <c r="K4" s="12"/>
    </row>
    <row r="5" spans="1:11" ht="17.25" customHeight="1">
      <c r="B5" s="157"/>
      <c r="C5" s="12"/>
      <c r="D5" s="12"/>
      <c r="E5" s="12"/>
      <c r="F5" s="12"/>
      <c r="G5" s="12"/>
      <c r="H5" s="12"/>
      <c r="I5" s="12"/>
      <c r="J5" s="12"/>
      <c r="K5" s="12"/>
    </row>
    <row r="6" spans="1:11" ht="17.25" customHeight="1">
      <c r="B6" s="157"/>
      <c r="C6" s="12"/>
      <c r="D6" s="12"/>
      <c r="E6" s="12"/>
      <c r="F6" s="12"/>
      <c r="G6" s="12"/>
      <c r="H6" s="12"/>
      <c r="I6" s="12"/>
      <c r="J6" s="12"/>
      <c r="K6" s="12"/>
    </row>
    <row r="7" spans="1:11" ht="17.25" customHeight="1">
      <c r="B7" s="157"/>
      <c r="C7" s="12"/>
      <c r="D7" s="12"/>
      <c r="E7" s="12"/>
      <c r="F7" s="12"/>
      <c r="G7" s="12"/>
      <c r="H7" s="12"/>
      <c r="I7" s="12"/>
      <c r="J7" s="12"/>
      <c r="K7" s="12"/>
    </row>
    <row r="8" spans="1:11">
      <c r="B8" s="25"/>
      <c r="C8" s="12"/>
      <c r="D8" s="12"/>
      <c r="E8" s="12"/>
      <c r="F8" s="12"/>
      <c r="G8" s="12"/>
      <c r="H8" s="12"/>
      <c r="I8" s="12"/>
      <c r="J8" s="12"/>
      <c r="K8" s="12"/>
    </row>
    <row r="9" spans="1:11" ht="18">
      <c r="B9" s="12"/>
      <c r="C9" s="12"/>
      <c r="D9" s="81" t="s">
        <v>0</v>
      </c>
      <c r="E9" s="12"/>
      <c r="F9" s="12"/>
      <c r="G9" s="12"/>
      <c r="H9" s="12"/>
      <c r="I9" s="12"/>
      <c r="J9" s="12"/>
      <c r="K9" s="12"/>
    </row>
    <row r="10" spans="1:11" ht="18">
      <c r="B10" s="12"/>
      <c r="C10" s="12"/>
      <c r="D10" s="81" t="s">
        <v>65</v>
      </c>
      <c r="E10" s="12"/>
      <c r="F10" s="12"/>
      <c r="G10" s="12"/>
      <c r="H10" s="12"/>
      <c r="I10" s="12"/>
      <c r="J10" s="12"/>
      <c r="K10" s="12"/>
    </row>
    <row r="11" spans="1:11">
      <c r="B11" s="12"/>
      <c r="C11" s="12"/>
      <c r="D11" s="12"/>
      <c r="E11" s="12"/>
      <c r="F11" s="12"/>
      <c r="G11" s="12"/>
      <c r="H11" s="12"/>
      <c r="I11" s="12"/>
      <c r="J11" s="12"/>
      <c r="K11" s="12"/>
    </row>
    <row r="12" spans="1:11">
      <c r="B12" s="12"/>
      <c r="C12" s="12"/>
      <c r="D12" s="12"/>
      <c r="E12" s="12"/>
      <c r="F12" s="12"/>
      <c r="G12" s="12"/>
      <c r="H12" s="12"/>
      <c r="I12" s="12"/>
      <c r="J12" s="12"/>
      <c r="K12" s="12"/>
    </row>
    <row r="13" spans="1:11">
      <c r="B13" s="12"/>
      <c r="C13" s="12"/>
      <c r="D13" s="12"/>
      <c r="E13" s="26"/>
      <c r="F13" s="12"/>
      <c r="G13" s="12"/>
      <c r="H13" s="12"/>
      <c r="I13" s="12"/>
      <c r="J13" s="12"/>
      <c r="K13" s="12"/>
    </row>
    <row r="14" spans="1:11">
      <c r="B14" s="12"/>
      <c r="C14" s="12"/>
      <c r="D14" s="12"/>
      <c r="E14" s="12"/>
      <c r="F14" s="12"/>
      <c r="G14" s="12"/>
      <c r="H14" s="12"/>
      <c r="I14" s="12"/>
      <c r="J14" s="12"/>
      <c r="K14" s="12"/>
    </row>
    <row r="15" spans="1:11" ht="15.75" thickBot="1">
      <c r="B15" s="12"/>
      <c r="C15" s="28"/>
      <c r="D15" s="28"/>
      <c r="E15" s="28"/>
      <c r="F15" s="12"/>
      <c r="G15" s="12"/>
      <c r="H15" s="12"/>
      <c r="I15" s="12"/>
      <c r="J15" s="12"/>
      <c r="K15" s="12"/>
    </row>
    <row r="16" spans="1:11" ht="20.25">
      <c r="B16" s="12"/>
      <c r="C16" s="12"/>
      <c r="D16" s="31" t="str">
        <f>+'S&amp;D'!A12</f>
        <v>Liquid Transportation Pipeline Carriers</v>
      </c>
      <c r="E16" s="12"/>
      <c r="F16" s="12"/>
      <c r="G16" s="12"/>
      <c r="H16" s="12"/>
      <c r="I16" s="12"/>
      <c r="J16" s="12"/>
      <c r="K16" s="12"/>
    </row>
    <row r="17" spans="2:11" ht="15.75" thickBot="1">
      <c r="B17" s="12"/>
      <c r="C17" s="28"/>
      <c r="D17" s="36" t="s">
        <v>0</v>
      </c>
      <c r="E17" s="28"/>
      <c r="F17" s="12"/>
      <c r="G17" s="12"/>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34</v>
      </c>
      <c r="E19" s="34" t="s">
        <v>69</v>
      </c>
      <c r="F19" s="34" t="s">
        <v>34</v>
      </c>
      <c r="G19" s="34" t="s">
        <v>35</v>
      </c>
      <c r="H19" s="12"/>
      <c r="I19" s="12"/>
      <c r="J19" s="12"/>
      <c r="K19" s="12"/>
    </row>
    <row r="20" spans="2:11" ht="15.75" thickBot="1">
      <c r="B20" s="36" t="s">
        <v>33</v>
      </c>
      <c r="C20" s="36" t="s">
        <v>36</v>
      </c>
      <c r="D20" s="36" t="s">
        <v>37</v>
      </c>
      <c r="E20" s="36" t="s">
        <v>23</v>
      </c>
      <c r="F20" s="36" t="s">
        <v>38</v>
      </c>
      <c r="G20" s="36" t="s">
        <v>39</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3" t="s">
        <v>40</v>
      </c>
      <c r="C23" s="149">
        <f>'S&amp;D'!I57</f>
        <v>0.56999999999999995</v>
      </c>
      <c r="D23" s="149">
        <f>+'Indicated Yield Equity Rate'!D53</f>
        <v>0.10970000000000001</v>
      </c>
      <c r="E23" s="107" t="s">
        <v>41</v>
      </c>
      <c r="F23" s="149">
        <f>+D23</f>
        <v>0.10970000000000001</v>
      </c>
      <c r="G23" s="150">
        <f>+F23*C23</f>
        <v>6.2529000000000001E-2</v>
      </c>
      <c r="H23" s="12"/>
      <c r="I23" s="12"/>
      <c r="J23" s="12"/>
      <c r="K23" s="12"/>
    </row>
    <row r="24" spans="2:11" ht="15.75">
      <c r="B24" s="93" t="s">
        <v>0</v>
      </c>
      <c r="C24" s="107" t="s">
        <v>0</v>
      </c>
      <c r="D24" s="107" t="s">
        <v>0</v>
      </c>
      <c r="E24" s="107" t="s">
        <v>0</v>
      </c>
      <c r="F24" s="151" t="s">
        <v>0</v>
      </c>
      <c r="G24" s="132" t="s">
        <v>0</v>
      </c>
      <c r="H24" s="12"/>
      <c r="I24" s="12"/>
      <c r="J24" s="12"/>
      <c r="K24" s="12"/>
    </row>
    <row r="25" spans="2:11" ht="15.75">
      <c r="B25" s="93" t="s">
        <v>42</v>
      </c>
      <c r="C25" s="149">
        <f>'S&amp;D'!J57</f>
        <v>0.43</v>
      </c>
      <c r="D25" s="149">
        <f>+'Yield Debt'!J32</f>
        <v>6.7799999999999999E-2</v>
      </c>
      <c r="E25" s="149">
        <v>0.26</v>
      </c>
      <c r="F25" s="149">
        <f>+D25*(1-E25)</f>
        <v>5.0172000000000001E-2</v>
      </c>
      <c r="G25" s="150">
        <f>+C25*F25</f>
        <v>2.157396E-2</v>
      </c>
      <c r="H25" s="12"/>
      <c r="I25" s="12"/>
      <c r="J25" s="12"/>
      <c r="K25" s="12"/>
    </row>
    <row r="26" spans="2:11" ht="16.5" thickBot="1">
      <c r="B26" s="100" t="s">
        <v>0</v>
      </c>
      <c r="C26" s="100" t="s">
        <v>0</v>
      </c>
      <c r="D26" s="100" t="s">
        <v>0</v>
      </c>
      <c r="E26" s="100" t="s">
        <v>0</v>
      </c>
      <c r="F26" s="152" t="s">
        <v>0</v>
      </c>
      <c r="G26" s="153" t="s">
        <v>0</v>
      </c>
      <c r="H26" s="12"/>
      <c r="I26" s="12"/>
      <c r="J26" s="12"/>
      <c r="K26" s="12"/>
    </row>
    <row r="27" spans="2:11" ht="15.75">
      <c r="B27" s="93" t="s">
        <v>72</v>
      </c>
      <c r="C27" s="154">
        <f>+C23+C25</f>
        <v>1</v>
      </c>
      <c r="D27" s="93" t="s">
        <v>0</v>
      </c>
      <c r="E27" s="93" t="s">
        <v>0</v>
      </c>
      <c r="F27" s="155" t="s">
        <v>0</v>
      </c>
      <c r="G27" s="150">
        <f>+G23+G25</f>
        <v>8.4102960000000004E-2</v>
      </c>
      <c r="H27" s="12"/>
      <c r="I27" s="12"/>
      <c r="J27" s="12"/>
      <c r="K27" s="12"/>
    </row>
    <row r="28" spans="2:11" ht="16.5" thickBot="1">
      <c r="B28" s="64"/>
      <c r="C28" s="64"/>
      <c r="D28" s="64"/>
      <c r="E28" s="64"/>
      <c r="F28" s="64"/>
      <c r="G28" s="156"/>
      <c r="H28" s="12"/>
      <c r="I28" s="12"/>
      <c r="J28" s="12"/>
      <c r="K28" s="12"/>
    </row>
    <row r="29" spans="2:11" ht="16.5" thickBot="1">
      <c r="B29" s="12"/>
      <c r="C29" s="12"/>
      <c r="D29" s="12"/>
      <c r="E29" s="12"/>
      <c r="F29" s="220" t="s">
        <v>75</v>
      </c>
      <c r="G29" s="336">
        <v>8.4099999999999994E-2</v>
      </c>
      <c r="H29" s="12"/>
      <c r="I29" s="12"/>
      <c r="J29" s="12"/>
      <c r="K29" s="12"/>
    </row>
    <row r="30" spans="2:11">
      <c r="B30" s="12"/>
      <c r="C30" s="12"/>
      <c r="D30" s="12"/>
      <c r="E30" s="12"/>
      <c r="F30" s="12"/>
      <c r="G30" s="12"/>
      <c r="H30" s="12"/>
      <c r="I30" s="12"/>
      <c r="J30" s="12"/>
      <c r="K30" s="12"/>
    </row>
    <row r="31" spans="2:11">
      <c r="B31" s="12"/>
      <c r="C31" s="12"/>
      <c r="D31" s="12"/>
      <c r="E31" s="12"/>
      <c r="F31" s="12"/>
      <c r="G31" s="12"/>
      <c r="H31" s="12"/>
      <c r="I31" s="12"/>
      <c r="J31" s="12"/>
      <c r="K31" s="12"/>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M15" sqref="M15"/>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G71" sqref="G71"/>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c r="A3" s="25" t="s">
        <v>63</v>
      </c>
      <c r="C3" s="12"/>
      <c r="D3" s="12"/>
      <c r="E3" s="12"/>
      <c r="F3" s="12"/>
      <c r="G3" s="12"/>
      <c r="H3" s="12"/>
      <c r="I3" s="12"/>
      <c r="J3" s="12"/>
      <c r="K3" s="12"/>
    </row>
    <row r="4" spans="1:11">
      <c r="B4" s="25"/>
      <c r="C4" s="12"/>
      <c r="D4" s="12"/>
      <c r="E4" s="12"/>
      <c r="F4" s="12"/>
      <c r="G4" s="12"/>
      <c r="H4" s="12"/>
      <c r="I4" s="12"/>
      <c r="J4" s="12"/>
      <c r="K4" s="12"/>
    </row>
    <row r="5" spans="1:11">
      <c r="B5" s="25"/>
      <c r="C5" s="12"/>
      <c r="D5" s="12"/>
      <c r="E5" s="12"/>
      <c r="F5" s="12"/>
      <c r="G5" s="12"/>
      <c r="H5" s="12"/>
      <c r="I5" s="12"/>
      <c r="J5" s="12"/>
      <c r="K5" s="12"/>
    </row>
    <row r="6" spans="1:11">
      <c r="B6" s="25"/>
      <c r="C6" s="12"/>
      <c r="D6" s="12"/>
      <c r="E6" s="12"/>
      <c r="F6" s="12"/>
      <c r="G6" s="12"/>
      <c r="H6" s="12"/>
      <c r="I6" s="12"/>
      <c r="J6" s="12"/>
      <c r="K6" s="12"/>
    </row>
    <row r="7" spans="1:11">
      <c r="B7" s="25"/>
      <c r="C7" s="12"/>
      <c r="D7" s="12"/>
      <c r="E7" s="12"/>
      <c r="F7" s="12"/>
      <c r="G7" s="12"/>
      <c r="H7" s="12"/>
      <c r="I7" s="12"/>
      <c r="J7" s="12"/>
      <c r="K7" s="12"/>
    </row>
    <row r="8" spans="1:11">
      <c r="B8" s="25"/>
      <c r="C8" s="12"/>
      <c r="D8" s="12"/>
      <c r="E8" s="12"/>
      <c r="F8" s="12"/>
      <c r="G8" s="12"/>
      <c r="H8" s="12"/>
      <c r="I8" s="12"/>
      <c r="J8" s="12"/>
      <c r="K8" s="12"/>
    </row>
    <row r="9" spans="1:11">
      <c r="B9" s="25"/>
      <c r="C9" s="12"/>
      <c r="D9" s="12"/>
      <c r="E9" s="12"/>
      <c r="F9" s="12"/>
      <c r="G9" s="12"/>
      <c r="H9" s="12"/>
      <c r="I9" s="12"/>
      <c r="J9" s="12"/>
      <c r="K9" s="12"/>
    </row>
    <row r="10" spans="1:11" ht="18">
      <c r="B10" s="12"/>
      <c r="C10" s="12"/>
      <c r="D10" s="81" t="s">
        <v>0</v>
      </c>
      <c r="E10" s="12"/>
      <c r="F10" s="12"/>
      <c r="G10" s="12"/>
      <c r="H10" s="12"/>
      <c r="I10" s="12"/>
      <c r="J10" s="12"/>
      <c r="K10" s="12"/>
    </row>
    <row r="11" spans="1:11" ht="18">
      <c r="B11" s="12"/>
      <c r="C11" s="12"/>
      <c r="D11" s="81" t="s">
        <v>64</v>
      </c>
      <c r="E11" s="12"/>
      <c r="F11" s="12"/>
      <c r="G11" s="12"/>
      <c r="H11" s="12"/>
      <c r="I11" s="12"/>
      <c r="J11" s="12"/>
      <c r="K11" s="12"/>
    </row>
    <row r="12" spans="1:11">
      <c r="B12" s="12"/>
      <c r="C12" s="12"/>
      <c r="D12" s="12"/>
      <c r="E12" s="12"/>
      <c r="F12" s="12"/>
      <c r="G12" s="12"/>
      <c r="H12" s="12"/>
      <c r="I12" s="12"/>
      <c r="J12" s="12"/>
      <c r="K12" s="12"/>
    </row>
    <row r="13" spans="1:11">
      <c r="B13" s="12"/>
      <c r="C13" s="12"/>
      <c r="D13" s="12"/>
      <c r="E13" s="12"/>
      <c r="F13" s="12"/>
      <c r="G13" s="12"/>
      <c r="H13" s="12"/>
      <c r="I13" s="12"/>
      <c r="J13" s="12"/>
      <c r="K13" s="12"/>
    </row>
    <row r="14" spans="1:11" ht="15.75" thickBot="1">
      <c r="B14" s="12"/>
      <c r="C14" s="28"/>
      <c r="D14" s="28"/>
      <c r="E14" s="28"/>
      <c r="F14" s="12"/>
      <c r="G14" s="12"/>
      <c r="H14" s="12"/>
      <c r="I14" s="12"/>
      <c r="J14" s="12"/>
      <c r="K14" s="12"/>
    </row>
    <row r="15" spans="1:11" ht="20.25">
      <c r="B15" s="12"/>
      <c r="C15" s="12"/>
      <c r="D15" s="31" t="str">
        <f>+'S&amp;D'!A12</f>
        <v>Liquid Transportation Pipeline Carriers</v>
      </c>
      <c r="E15" s="12"/>
      <c r="F15" s="12"/>
      <c r="G15" s="12"/>
      <c r="H15" s="12"/>
      <c r="I15" s="12"/>
      <c r="J15" s="12"/>
      <c r="K15" s="12"/>
    </row>
    <row r="16" spans="1:11" ht="18.75" thickBot="1">
      <c r="B16" s="12"/>
      <c r="C16" s="28"/>
      <c r="D16" s="148" t="s">
        <v>71</v>
      </c>
      <c r="E16" s="28"/>
      <c r="F16" s="12"/>
      <c r="G16" s="12"/>
      <c r="H16" s="12"/>
      <c r="I16" s="12"/>
      <c r="J16" s="12"/>
      <c r="K16" s="12"/>
    </row>
    <row r="17" spans="2:11">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68</v>
      </c>
      <c r="E19" s="34" t="s">
        <v>69</v>
      </c>
      <c r="F19" s="34" t="s">
        <v>67</v>
      </c>
      <c r="G19" s="34" t="s">
        <v>35</v>
      </c>
      <c r="H19" s="12"/>
      <c r="I19" s="12"/>
      <c r="J19" s="12"/>
      <c r="K19" s="12"/>
    </row>
    <row r="20" spans="2:11" ht="15.75" thickBot="1">
      <c r="B20" s="36" t="s">
        <v>33</v>
      </c>
      <c r="C20" s="36" t="s">
        <v>36</v>
      </c>
      <c r="D20" s="36" t="s">
        <v>37</v>
      </c>
      <c r="E20" s="36" t="s">
        <v>23</v>
      </c>
      <c r="F20" s="36" t="s">
        <v>38</v>
      </c>
      <c r="G20" s="36" t="s">
        <v>70</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3" t="s">
        <v>40</v>
      </c>
      <c r="C23" s="149">
        <f>'S&amp;D'!I57</f>
        <v>0.56999999999999995</v>
      </c>
      <c r="D23" s="149">
        <f>+'Direct NOPAT'!J36</f>
        <v>0.10200000000000001</v>
      </c>
      <c r="E23" s="107" t="s">
        <v>41</v>
      </c>
      <c r="F23" s="149">
        <f>+D23</f>
        <v>0.10200000000000001</v>
      </c>
      <c r="G23" s="150">
        <f>+F23*C23</f>
        <v>5.8139999999999997E-2</v>
      </c>
      <c r="H23" s="12"/>
      <c r="I23" s="12"/>
      <c r="J23" s="12"/>
      <c r="K23" s="12"/>
    </row>
    <row r="24" spans="2:11" ht="15.75">
      <c r="B24" s="93" t="s">
        <v>0</v>
      </c>
      <c r="C24" s="107" t="s">
        <v>0</v>
      </c>
      <c r="D24" s="107" t="s">
        <v>0</v>
      </c>
      <c r="E24" s="107" t="s">
        <v>0</v>
      </c>
      <c r="F24" s="151" t="s">
        <v>0</v>
      </c>
      <c r="G24" s="132" t="s">
        <v>0</v>
      </c>
      <c r="H24" s="12"/>
      <c r="I24" s="12"/>
      <c r="J24" s="12"/>
      <c r="K24" s="12"/>
    </row>
    <row r="25" spans="2:11" ht="15.75">
      <c r="B25" s="93" t="s">
        <v>42</v>
      </c>
      <c r="C25" s="149">
        <f>'S&amp;D'!J57</f>
        <v>0.43</v>
      </c>
      <c r="D25" s="149">
        <f>+'Direct Debt'!I35</f>
        <v>4.9500000000000002E-2</v>
      </c>
      <c r="E25" s="149">
        <v>0.26</v>
      </c>
      <c r="F25" s="149">
        <f>+D25*(1-E25)</f>
        <v>3.6630000000000003E-2</v>
      </c>
      <c r="G25" s="150">
        <f>+C25*F25</f>
        <v>1.5750900000000002E-2</v>
      </c>
      <c r="H25" s="12"/>
      <c r="I25" s="12"/>
      <c r="J25" s="12"/>
      <c r="K25" s="12"/>
    </row>
    <row r="26" spans="2:11" ht="16.5" thickBot="1">
      <c r="B26" s="100" t="s">
        <v>0</v>
      </c>
      <c r="C26" s="100" t="s">
        <v>0</v>
      </c>
      <c r="D26" s="100" t="s">
        <v>0</v>
      </c>
      <c r="E26" s="100" t="s">
        <v>0</v>
      </c>
      <c r="F26" s="152" t="s">
        <v>0</v>
      </c>
      <c r="G26" s="153" t="s">
        <v>0</v>
      </c>
      <c r="H26" s="12"/>
      <c r="I26" s="12"/>
      <c r="J26" s="12"/>
      <c r="K26" s="12"/>
    </row>
    <row r="27" spans="2:11" ht="15.75">
      <c r="B27" s="93" t="s">
        <v>43</v>
      </c>
      <c r="C27" s="154">
        <f>+C23+C25</f>
        <v>1</v>
      </c>
      <c r="D27" s="93" t="s">
        <v>0</v>
      </c>
      <c r="E27" s="93" t="s">
        <v>0</v>
      </c>
      <c r="F27" s="155" t="s">
        <v>0</v>
      </c>
      <c r="G27" s="150">
        <f>+G23+G25</f>
        <v>7.3890899999999995E-2</v>
      </c>
      <c r="H27" s="12"/>
      <c r="I27" s="12"/>
      <c r="J27" s="12"/>
      <c r="K27" s="12"/>
    </row>
    <row r="28" spans="2:11" ht="16.5" thickBot="1">
      <c r="B28" s="64"/>
      <c r="C28" s="64"/>
      <c r="D28" s="64"/>
      <c r="E28" s="64"/>
      <c r="F28" s="64"/>
      <c r="G28" s="156"/>
      <c r="H28" s="12"/>
      <c r="I28" s="12"/>
      <c r="J28" s="12"/>
      <c r="K28" s="12"/>
    </row>
    <row r="29" spans="2:11" ht="16.5" thickBot="1">
      <c r="B29" s="12"/>
      <c r="C29" s="12"/>
      <c r="D29" s="12"/>
      <c r="E29" s="12"/>
      <c r="F29" s="220" t="s">
        <v>75</v>
      </c>
      <c r="G29" s="336">
        <v>7.3899999999999993E-2</v>
      </c>
      <c r="H29" s="12"/>
      <c r="I29" s="12"/>
      <c r="J29" s="12"/>
      <c r="K29" s="12"/>
    </row>
    <row r="30" spans="2:11" ht="16.5" thickBot="1">
      <c r="B30" s="12"/>
      <c r="C30" s="12"/>
      <c r="D30" s="12"/>
      <c r="E30" s="12"/>
      <c r="F30" s="155"/>
      <c r="G30" s="150"/>
      <c r="H30" s="12"/>
      <c r="I30" s="12"/>
      <c r="J30" s="12"/>
      <c r="K30" s="12"/>
    </row>
    <row r="31" spans="2:11" ht="16.5" thickBot="1">
      <c r="B31" s="12"/>
      <c r="C31" s="12"/>
      <c r="D31" s="12"/>
      <c r="E31" s="12"/>
      <c r="F31" s="220" t="s">
        <v>237</v>
      </c>
      <c r="G31" s="258">
        <f>1/G29</f>
        <v>13.531799729364007</v>
      </c>
      <c r="H31" s="12"/>
      <c r="I31" s="12"/>
      <c r="J31" s="12"/>
      <c r="K31" s="12"/>
    </row>
    <row r="32" spans="2:11" ht="15.75">
      <c r="B32" s="12"/>
      <c r="C32" s="12"/>
      <c r="D32" s="12"/>
      <c r="E32" s="12"/>
      <c r="F32" s="155"/>
      <c r="G32" s="150"/>
      <c r="H32" s="12"/>
      <c r="I32" s="12"/>
      <c r="J32" s="12"/>
      <c r="K32" s="12"/>
    </row>
    <row r="33" spans="1:11" ht="15.75">
      <c r="B33" s="12"/>
      <c r="C33" s="12"/>
      <c r="D33" s="12"/>
      <c r="E33" s="12"/>
      <c r="F33" s="155"/>
      <c r="G33" s="150"/>
      <c r="H33" s="12"/>
      <c r="I33" s="12"/>
      <c r="J33" s="12"/>
      <c r="K33" s="12"/>
    </row>
    <row r="34" spans="1:11" ht="20.25">
      <c r="A34" s="23" t="s">
        <v>1</v>
      </c>
      <c r="C34" s="12"/>
      <c r="D34" s="12"/>
      <c r="E34" s="12"/>
      <c r="F34" s="155"/>
      <c r="G34" s="150"/>
      <c r="H34" s="12"/>
      <c r="I34" s="12"/>
      <c r="J34" s="12"/>
      <c r="K34" s="12"/>
    </row>
    <row r="35" spans="1:11" ht="15.75">
      <c r="A35" s="24" t="s">
        <v>9</v>
      </c>
      <c r="C35" s="12"/>
      <c r="D35" s="12"/>
      <c r="E35" s="12"/>
      <c r="F35" s="155"/>
      <c r="G35" s="150"/>
      <c r="H35" s="12"/>
      <c r="I35" s="12"/>
      <c r="J35" s="12"/>
      <c r="K35" s="12"/>
    </row>
    <row r="36" spans="1:11" ht="15.75">
      <c r="A36" s="25" t="s">
        <v>63</v>
      </c>
      <c r="C36" s="12"/>
      <c r="D36" s="12"/>
      <c r="E36" s="12"/>
      <c r="F36" s="155"/>
      <c r="G36" s="150"/>
      <c r="H36" s="12"/>
      <c r="I36" s="12"/>
      <c r="J36" s="12"/>
      <c r="K36" s="12"/>
    </row>
    <row r="37" spans="1:11" ht="15.75">
      <c r="A37" s="25"/>
      <c r="C37" s="12"/>
      <c r="D37" s="12"/>
      <c r="E37" s="12"/>
      <c r="F37" s="155"/>
      <c r="G37" s="150"/>
      <c r="H37" s="12"/>
      <c r="I37" s="12"/>
      <c r="J37" s="12"/>
      <c r="K37" s="12"/>
    </row>
    <row r="38" spans="1:11" ht="15.75">
      <c r="A38" s="25"/>
      <c r="C38" s="12"/>
      <c r="D38" s="12"/>
      <c r="E38" s="12"/>
      <c r="F38" s="155"/>
      <c r="G38" s="150"/>
      <c r="H38" s="12"/>
      <c r="I38" s="12"/>
      <c r="J38" s="12"/>
      <c r="K38" s="12"/>
    </row>
    <row r="39" spans="1:11" ht="15.75">
      <c r="A39" s="25"/>
      <c r="C39" s="12"/>
      <c r="D39" s="12"/>
      <c r="E39" s="12"/>
      <c r="F39" s="155"/>
      <c r="G39" s="150"/>
      <c r="H39" s="12"/>
      <c r="I39" s="12"/>
      <c r="J39" s="12"/>
      <c r="K39" s="12"/>
    </row>
    <row r="40" spans="1:11" ht="15.75">
      <c r="A40" s="25"/>
      <c r="C40" s="12"/>
      <c r="D40" s="12"/>
      <c r="E40" s="12"/>
      <c r="F40" s="155"/>
      <c r="G40" s="150"/>
      <c r="H40" s="12"/>
      <c r="I40" s="12"/>
      <c r="J40" s="12"/>
      <c r="K40" s="12"/>
    </row>
    <row r="41" spans="1:11" ht="15.75">
      <c r="A41" s="25"/>
      <c r="C41" s="12"/>
      <c r="D41" s="12"/>
      <c r="E41" s="12"/>
      <c r="F41" s="155"/>
      <c r="G41" s="150"/>
      <c r="H41" s="12"/>
      <c r="I41" s="12"/>
      <c r="J41" s="12"/>
      <c r="K41" s="12"/>
    </row>
    <row r="42" spans="1:11" ht="15.75">
      <c r="A42" s="25"/>
      <c r="C42" s="12"/>
      <c r="D42" s="12"/>
      <c r="E42" s="12"/>
      <c r="F42" s="155"/>
      <c r="G42" s="150"/>
      <c r="H42" s="12"/>
      <c r="I42" s="12"/>
      <c r="J42" s="12"/>
      <c r="K42" s="12"/>
    </row>
    <row r="43" spans="1:11" ht="15.75">
      <c r="A43" s="25"/>
      <c r="C43" s="12"/>
      <c r="D43" s="12"/>
      <c r="E43" s="12"/>
      <c r="F43" s="155"/>
      <c r="G43" s="150"/>
      <c r="H43" s="12"/>
      <c r="I43" s="12"/>
      <c r="J43" s="12"/>
      <c r="K43" s="12"/>
    </row>
    <row r="44" spans="1:11" ht="18">
      <c r="A44" s="25"/>
      <c r="C44" s="12"/>
      <c r="D44" s="81" t="s">
        <v>64</v>
      </c>
      <c r="E44" s="12"/>
      <c r="F44" s="155"/>
      <c r="G44" s="150"/>
      <c r="H44" s="12"/>
      <c r="I44" s="12"/>
      <c r="J44" s="12"/>
      <c r="K44" s="12"/>
    </row>
    <row r="45" spans="1:11" ht="18">
      <c r="A45" s="25"/>
      <c r="C45" s="12"/>
      <c r="D45" s="81"/>
      <c r="E45" s="12"/>
      <c r="F45" s="155"/>
      <c r="G45" s="150"/>
      <c r="H45" s="12"/>
      <c r="I45" s="12"/>
      <c r="J45" s="12"/>
      <c r="K45" s="12"/>
    </row>
    <row r="46" spans="1:11" ht="18">
      <c r="A46" s="25"/>
      <c r="C46" s="12"/>
      <c r="D46" s="81"/>
      <c r="E46" s="12"/>
      <c r="F46" s="155"/>
      <c r="G46" s="150"/>
      <c r="H46" s="12"/>
      <c r="I46" s="12"/>
      <c r="J46" s="12"/>
      <c r="K46" s="12"/>
    </row>
    <row r="47" spans="1:11" ht="15.75" thickBot="1">
      <c r="B47" s="12"/>
      <c r="C47" s="28"/>
      <c r="D47" s="28"/>
      <c r="E47" s="28"/>
      <c r="F47" s="12"/>
      <c r="G47" s="12"/>
      <c r="H47" s="12"/>
      <c r="I47" s="12"/>
      <c r="J47" s="12"/>
      <c r="K47" s="12"/>
    </row>
    <row r="48" spans="1:11" ht="20.25">
      <c r="B48" s="12"/>
      <c r="C48" s="12"/>
      <c r="D48" s="31" t="str">
        <f>+D15</f>
        <v>Liquid Transportation Pipeline Carriers</v>
      </c>
      <c r="E48" s="12"/>
      <c r="F48" s="12"/>
      <c r="G48" s="12"/>
      <c r="H48" s="12"/>
      <c r="I48" s="12"/>
      <c r="J48" s="12"/>
      <c r="K48" s="12"/>
    </row>
    <row r="49" spans="2:11" ht="18.75" thickBot="1">
      <c r="B49" s="12"/>
      <c r="C49" s="28"/>
      <c r="D49" s="148" t="s">
        <v>66</v>
      </c>
      <c r="E49" s="28"/>
      <c r="F49" s="12"/>
      <c r="G49" s="12"/>
      <c r="H49" s="12"/>
      <c r="I49" s="12"/>
      <c r="J49" s="12"/>
      <c r="K49" s="12"/>
    </row>
    <row r="50" spans="2:11">
      <c r="B50" s="12"/>
      <c r="C50" s="12"/>
      <c r="D50" s="12"/>
      <c r="E50" s="12"/>
      <c r="F50" s="12"/>
      <c r="G50" s="12"/>
      <c r="H50" s="12"/>
      <c r="I50" s="12"/>
      <c r="J50" s="12"/>
      <c r="K50" s="12"/>
    </row>
    <row r="51" spans="2:11" ht="15.75" thickBot="1">
      <c r="B51" s="28"/>
      <c r="C51" s="28"/>
      <c r="D51" s="36" t="s">
        <v>0</v>
      </c>
      <c r="E51" s="28"/>
      <c r="F51" s="28"/>
      <c r="G51" s="28"/>
      <c r="H51" s="12"/>
      <c r="I51" s="12"/>
      <c r="J51" s="12"/>
      <c r="K51" s="12"/>
    </row>
    <row r="52" spans="2:11">
      <c r="B52" s="34" t="s">
        <v>32</v>
      </c>
      <c r="C52" s="34" t="s">
        <v>33</v>
      </c>
      <c r="D52" s="34" t="s">
        <v>68</v>
      </c>
      <c r="E52" s="34" t="s">
        <v>69</v>
      </c>
      <c r="F52" s="34" t="s">
        <v>67</v>
      </c>
      <c r="G52" s="34" t="s">
        <v>35</v>
      </c>
      <c r="H52" s="12"/>
      <c r="I52" s="12"/>
      <c r="J52" s="12"/>
      <c r="K52" s="12"/>
    </row>
    <row r="53" spans="2:11" ht="15.75" thickBot="1">
      <c r="B53" s="36" t="s">
        <v>33</v>
      </c>
      <c r="C53" s="36" t="s">
        <v>36</v>
      </c>
      <c r="D53" s="36" t="s">
        <v>37</v>
      </c>
      <c r="E53" s="36" t="s">
        <v>23</v>
      </c>
      <c r="F53" s="36" t="s">
        <v>38</v>
      </c>
      <c r="G53" s="36" t="s">
        <v>70</v>
      </c>
      <c r="H53" s="12"/>
      <c r="I53" s="12"/>
      <c r="J53" s="12"/>
      <c r="K53" s="12"/>
    </row>
    <row r="54" spans="2:11">
      <c r="B54" s="38" t="s">
        <v>0</v>
      </c>
      <c r="C54" s="38" t="s">
        <v>0</v>
      </c>
      <c r="D54" s="38" t="s">
        <v>0</v>
      </c>
      <c r="E54" s="38" t="s">
        <v>0</v>
      </c>
      <c r="F54" s="38" t="s">
        <v>0</v>
      </c>
      <c r="G54" s="38" t="s">
        <v>0</v>
      </c>
      <c r="H54" s="12"/>
      <c r="I54" s="12"/>
      <c r="J54" s="12"/>
      <c r="K54" s="12"/>
    </row>
    <row r="55" spans="2:11">
      <c r="B55" s="34"/>
      <c r="C55" s="34"/>
      <c r="D55" s="34"/>
      <c r="E55" s="34"/>
      <c r="F55" s="34"/>
      <c r="G55" s="34"/>
      <c r="H55" s="12"/>
      <c r="I55" s="12"/>
      <c r="J55" s="12"/>
      <c r="K55" s="12"/>
    </row>
    <row r="56" spans="2:11" ht="15.75">
      <c r="B56" s="93" t="s">
        <v>40</v>
      </c>
      <c r="C56" s="149">
        <f>'S&amp;D'!I57</f>
        <v>0.56999999999999995</v>
      </c>
      <c r="D56" s="149">
        <f>+'Direct GCF'!H35</f>
        <v>0.17665</v>
      </c>
      <c r="E56" s="107" t="s">
        <v>41</v>
      </c>
      <c r="F56" s="149">
        <f>+D56</f>
        <v>0.17665</v>
      </c>
      <c r="G56" s="150">
        <f>+F56*C56</f>
        <v>0.10069049999999999</v>
      </c>
      <c r="H56" s="12"/>
      <c r="I56" s="12"/>
      <c r="J56" s="12"/>
      <c r="K56" s="12"/>
    </row>
    <row r="57" spans="2:11" ht="15.75">
      <c r="B57" s="93" t="s">
        <v>0</v>
      </c>
      <c r="C57" s="107" t="s">
        <v>0</v>
      </c>
      <c r="D57" s="107" t="s">
        <v>0</v>
      </c>
      <c r="E57" s="107" t="s">
        <v>0</v>
      </c>
      <c r="F57" s="151" t="s">
        <v>0</v>
      </c>
      <c r="G57" s="132" t="s">
        <v>0</v>
      </c>
      <c r="H57" s="12"/>
      <c r="I57" s="12"/>
      <c r="J57" s="12"/>
      <c r="K57" s="12"/>
    </row>
    <row r="58" spans="2:11" ht="15.75">
      <c r="B58" s="93" t="s">
        <v>42</v>
      </c>
      <c r="C58" s="149">
        <f>'S&amp;D'!J57</f>
        <v>0.43</v>
      </c>
      <c r="D58" s="149">
        <f>+'Direct Debt'!I35</f>
        <v>4.9500000000000002E-2</v>
      </c>
      <c r="E58" s="149">
        <v>0.26</v>
      </c>
      <c r="F58" s="149">
        <f>+D58*(1-E58)</f>
        <v>3.6630000000000003E-2</v>
      </c>
      <c r="G58" s="150">
        <f>+C58*F58</f>
        <v>1.5750900000000002E-2</v>
      </c>
      <c r="H58" s="12"/>
      <c r="I58" s="12"/>
      <c r="J58" s="12"/>
      <c r="K58" s="12"/>
    </row>
    <row r="59" spans="2:11" ht="16.5" thickBot="1">
      <c r="B59" s="100" t="s">
        <v>0</v>
      </c>
      <c r="C59" s="100" t="s">
        <v>0</v>
      </c>
      <c r="D59" s="100" t="s">
        <v>0</v>
      </c>
      <c r="E59" s="100" t="s">
        <v>0</v>
      </c>
      <c r="F59" s="152" t="s">
        <v>0</v>
      </c>
      <c r="G59" s="153" t="s">
        <v>0</v>
      </c>
      <c r="H59" s="12"/>
      <c r="I59" s="12"/>
      <c r="J59" s="12"/>
      <c r="K59" s="12"/>
    </row>
    <row r="60" spans="2:11" ht="15.75">
      <c r="B60" s="93" t="s">
        <v>43</v>
      </c>
      <c r="C60" s="154">
        <f>+C56+C58</f>
        <v>1</v>
      </c>
      <c r="D60" s="93" t="s">
        <v>0</v>
      </c>
      <c r="E60" s="93" t="s">
        <v>0</v>
      </c>
      <c r="F60" s="155" t="s">
        <v>0</v>
      </c>
      <c r="G60" s="150">
        <f>+G56+G58</f>
        <v>0.11644139999999999</v>
      </c>
      <c r="H60" s="12"/>
      <c r="I60" s="12"/>
      <c r="J60" s="12"/>
      <c r="K60" s="12"/>
    </row>
    <row r="61" spans="2:11" ht="16.5" thickBot="1">
      <c r="B61" s="64"/>
      <c r="C61" s="64"/>
      <c r="D61" s="64"/>
      <c r="E61" s="64"/>
      <c r="F61" s="64"/>
      <c r="G61" s="156"/>
      <c r="H61" s="12"/>
      <c r="I61" s="12"/>
      <c r="J61" s="12"/>
      <c r="K61" s="12"/>
    </row>
    <row r="62" spans="2:11" ht="16.5" thickBot="1">
      <c r="B62" s="12"/>
      <c r="C62" s="12"/>
      <c r="D62" s="12"/>
      <c r="E62" s="12"/>
      <c r="F62" s="220" t="s">
        <v>75</v>
      </c>
      <c r="G62" s="336">
        <v>0.1164</v>
      </c>
      <c r="H62" s="12"/>
      <c r="I62" s="12"/>
      <c r="J62" s="12"/>
      <c r="K62" s="12"/>
    </row>
    <row r="63" spans="2:11" ht="15.75" thickBot="1"/>
    <row r="64" spans="2:11" ht="16.5" thickBot="1">
      <c r="F64" s="220" t="s">
        <v>237</v>
      </c>
      <c r="G64" s="258">
        <f>1/G62</f>
        <v>8.5910652920962196</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93"/>
  <sheetViews>
    <sheetView view="pageBreakPreview" zoomScale="60" zoomScaleNormal="80" zoomScalePageLayoutView="70" workbookViewId="0">
      <pane xSplit="1" topLeftCell="B1" activePane="topRight" state="frozen"/>
      <selection pane="topRight" activeCell="A13" sqref="A13"/>
    </sheetView>
  </sheetViews>
  <sheetFormatPr defaultRowHeight="15"/>
  <cols>
    <col min="1" max="1" width="63" customWidth="1"/>
    <col min="2" max="2" width="11.5703125" bestFit="1" customWidth="1"/>
    <col min="3" max="3" width="20.42578125" bestFit="1"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3" t="s">
        <v>1</v>
      </c>
      <c r="B1" s="12"/>
      <c r="C1" s="12"/>
      <c r="D1" s="12"/>
      <c r="E1" s="12"/>
      <c r="F1" s="12"/>
      <c r="G1" s="12"/>
      <c r="H1" s="12"/>
      <c r="I1" s="12"/>
      <c r="J1" s="12"/>
      <c r="K1" s="12"/>
    </row>
    <row r="2" spans="1:12" ht="15.75">
      <c r="A2" s="24" t="s">
        <v>9</v>
      </c>
      <c r="B2" s="12"/>
      <c r="C2" s="12"/>
      <c r="D2" s="12"/>
      <c r="E2" s="12"/>
      <c r="F2" s="12"/>
      <c r="G2" s="12"/>
      <c r="H2" s="12"/>
      <c r="I2" s="12"/>
      <c r="J2" s="12"/>
      <c r="K2" s="12"/>
    </row>
    <row r="3" spans="1:12">
      <c r="A3" s="25" t="s">
        <v>63</v>
      </c>
      <c r="B3" s="12"/>
      <c r="C3" s="12"/>
      <c r="D3" s="12"/>
      <c r="E3" s="12"/>
      <c r="F3" s="12"/>
      <c r="G3" s="12"/>
      <c r="H3" s="12"/>
      <c r="I3" s="12"/>
      <c r="J3" s="12"/>
      <c r="K3" s="12"/>
    </row>
    <row r="4" spans="1:12">
      <c r="A4" s="25"/>
      <c r="B4" s="12"/>
      <c r="C4" s="12"/>
      <c r="D4" s="12"/>
      <c r="E4" s="12"/>
      <c r="F4" s="218" t="s">
        <v>0</v>
      </c>
      <c r="G4" s="12"/>
      <c r="H4" s="12"/>
      <c r="I4" s="12"/>
      <c r="J4" s="12"/>
      <c r="K4" s="12"/>
    </row>
    <row r="5" spans="1:12">
      <c r="B5" s="12"/>
      <c r="C5" s="12"/>
      <c r="D5" s="12"/>
      <c r="E5" s="26"/>
      <c r="F5" s="218" t="s">
        <v>0</v>
      </c>
      <c r="G5" s="12"/>
      <c r="H5" s="12"/>
      <c r="I5" s="12"/>
      <c r="J5" s="12"/>
      <c r="K5" s="12" t="s">
        <v>0</v>
      </c>
    </row>
    <row r="6" spans="1:12">
      <c r="A6" s="12"/>
      <c r="B6" s="12"/>
      <c r="C6" s="12"/>
      <c r="D6" s="12"/>
      <c r="E6" s="12"/>
      <c r="F6" s="12"/>
      <c r="G6" s="12"/>
      <c r="H6" s="12"/>
      <c r="I6" s="12"/>
      <c r="J6" s="12"/>
      <c r="K6" s="12"/>
    </row>
    <row r="7" spans="1:12">
      <c r="A7" s="12"/>
      <c r="B7" s="34"/>
      <c r="C7" s="34"/>
      <c r="D7" s="34"/>
      <c r="E7" s="34"/>
      <c r="F7" s="34"/>
      <c r="G7" s="14"/>
      <c r="H7" s="43"/>
      <c r="I7" s="43"/>
      <c r="J7" s="88"/>
      <c r="K7" s="88"/>
      <c r="L7" s="3"/>
    </row>
    <row r="8" spans="1:12">
      <c r="A8" s="89"/>
      <c r="B8" s="34"/>
      <c r="C8" s="34"/>
      <c r="D8" s="34"/>
      <c r="E8" s="34"/>
      <c r="F8" s="34"/>
      <c r="G8" s="14"/>
      <c r="H8" s="43"/>
      <c r="I8" s="43"/>
      <c r="J8" s="88"/>
      <c r="K8" s="88"/>
      <c r="L8" s="3"/>
    </row>
    <row r="9" spans="1:12">
      <c r="A9" s="89"/>
      <c r="B9" s="34"/>
      <c r="C9" s="34"/>
      <c r="D9" s="34"/>
      <c r="E9" s="34"/>
      <c r="F9" s="34"/>
      <c r="G9" s="14"/>
      <c r="H9" s="43"/>
      <c r="I9" s="43"/>
      <c r="J9" s="88"/>
      <c r="K9" s="88"/>
      <c r="L9" s="3"/>
    </row>
    <row r="10" spans="1:12">
      <c r="A10" s="43"/>
      <c r="D10" s="43"/>
      <c r="E10" s="43"/>
      <c r="F10" s="43"/>
      <c r="G10" s="43"/>
      <c r="H10" s="43"/>
      <c r="I10" s="43"/>
      <c r="J10" s="43"/>
      <c r="K10" s="43"/>
      <c r="L10" s="2"/>
    </row>
    <row r="11" spans="1:12" ht="15.75" thickBot="1">
      <c r="A11" s="43"/>
      <c r="D11" s="43"/>
      <c r="E11" s="90"/>
      <c r="F11" s="28"/>
      <c r="G11" s="90"/>
      <c r="H11" s="43"/>
      <c r="I11" s="43"/>
      <c r="J11" s="43"/>
      <c r="K11" s="43"/>
      <c r="L11" s="2"/>
    </row>
    <row r="12" spans="1:12" ht="21" thickBot="1">
      <c r="A12" s="27" t="s">
        <v>383</v>
      </c>
      <c r="D12" s="43"/>
      <c r="E12" s="43"/>
      <c r="F12" s="31" t="s">
        <v>78</v>
      </c>
      <c r="G12" s="43"/>
      <c r="H12" s="43"/>
      <c r="I12" s="43"/>
      <c r="J12" s="43"/>
      <c r="K12" s="12"/>
    </row>
    <row r="13" spans="1:12" ht="18.75" thickBot="1">
      <c r="A13" s="30"/>
      <c r="D13" s="43"/>
      <c r="E13" s="90"/>
      <c r="F13" s="36" t="s">
        <v>77</v>
      </c>
      <c r="G13" s="90"/>
      <c r="H13" s="43"/>
      <c r="I13" s="43"/>
      <c r="J13" s="43"/>
      <c r="K13" s="12"/>
    </row>
    <row r="14" spans="1:12" ht="18">
      <c r="A14" s="30"/>
      <c r="B14" s="43"/>
      <c r="C14" s="43"/>
      <c r="D14" s="43"/>
      <c r="E14" s="43"/>
      <c r="F14" s="13" t="s">
        <v>0</v>
      </c>
      <c r="G14" s="43"/>
      <c r="H14" s="43"/>
      <c r="I14" s="43"/>
      <c r="J14" s="43"/>
      <c r="K14" s="12"/>
    </row>
    <row r="15" spans="1:12" ht="15.75" thickBot="1">
      <c r="A15" s="41" t="s">
        <v>0</v>
      </c>
      <c r="B15" s="41" t="s">
        <v>0</v>
      </c>
      <c r="C15" s="41" t="s">
        <v>0</v>
      </c>
      <c r="D15" s="41"/>
      <c r="E15" s="41"/>
      <c r="F15" s="41"/>
      <c r="G15" s="41" t="s">
        <v>0</v>
      </c>
      <c r="H15" s="90"/>
      <c r="I15" s="90"/>
      <c r="J15" s="90"/>
      <c r="K15" s="12"/>
    </row>
    <row r="16" spans="1:12" ht="15.75">
      <c r="A16" s="274"/>
      <c r="B16" s="275"/>
      <c r="C16" s="293"/>
      <c r="D16" s="259" t="s">
        <v>13</v>
      </c>
      <c r="E16" s="289" t="s">
        <v>13</v>
      </c>
      <c r="F16" s="259" t="s">
        <v>13</v>
      </c>
      <c r="G16" s="276" t="s">
        <v>248</v>
      </c>
      <c r="H16" s="290" t="s">
        <v>426</v>
      </c>
      <c r="I16" s="276" t="s">
        <v>426</v>
      </c>
      <c r="J16" s="290" t="s">
        <v>426</v>
      </c>
      <c r="K16" s="12"/>
    </row>
    <row r="17" spans="1:13" ht="15.75">
      <c r="A17" s="91" t="s">
        <v>0</v>
      </c>
      <c r="B17" s="92" t="s">
        <v>3</v>
      </c>
      <c r="C17" s="262" t="s">
        <v>5</v>
      </c>
      <c r="D17" s="94" t="s">
        <v>10</v>
      </c>
      <c r="E17" s="291" t="s">
        <v>10</v>
      </c>
      <c r="F17" s="94" t="s">
        <v>19</v>
      </c>
      <c r="G17" s="95" t="s">
        <v>426</v>
      </c>
      <c r="H17" s="92" t="s">
        <v>12</v>
      </c>
      <c r="I17" s="96" t="s">
        <v>11</v>
      </c>
      <c r="J17" s="97" t="s">
        <v>156</v>
      </c>
      <c r="K17" s="12"/>
    </row>
    <row r="18" spans="1:13" ht="15.75">
      <c r="A18" s="91" t="s">
        <v>2</v>
      </c>
      <c r="B18" s="92" t="s">
        <v>4</v>
      </c>
      <c r="C18" s="262" t="s">
        <v>6</v>
      </c>
      <c r="D18" s="94" t="s">
        <v>46</v>
      </c>
      <c r="E18" s="291" t="s">
        <v>47</v>
      </c>
      <c r="F18" s="94" t="s">
        <v>10</v>
      </c>
      <c r="G18" s="95" t="s">
        <v>10</v>
      </c>
      <c r="H18" s="92" t="s">
        <v>74</v>
      </c>
      <c r="I18" s="280" t="s">
        <v>428</v>
      </c>
      <c r="J18" s="97" t="s">
        <v>249</v>
      </c>
      <c r="K18" s="12" t="s">
        <v>0</v>
      </c>
    </row>
    <row r="19" spans="1:13" ht="16.5" thickBot="1">
      <c r="A19" s="98" t="s">
        <v>0</v>
      </c>
      <c r="B19" s="99" t="s">
        <v>0</v>
      </c>
      <c r="C19" s="120" t="s">
        <v>0</v>
      </c>
      <c r="D19" s="99" t="s">
        <v>0</v>
      </c>
      <c r="E19" s="100" t="s">
        <v>0</v>
      </c>
      <c r="F19" s="99" t="s">
        <v>0</v>
      </c>
      <c r="G19" s="100" t="s">
        <v>0</v>
      </c>
      <c r="H19" s="101" t="s">
        <v>62</v>
      </c>
      <c r="I19" s="102" t="s">
        <v>61</v>
      </c>
      <c r="J19" s="101" t="s">
        <v>61</v>
      </c>
      <c r="K19" s="12"/>
    </row>
    <row r="20" spans="1:13">
      <c r="A20" s="294" t="s">
        <v>7</v>
      </c>
      <c r="B20" s="320" t="s">
        <v>7</v>
      </c>
      <c r="C20" s="294" t="s">
        <v>7</v>
      </c>
      <c r="D20" s="329" t="s">
        <v>7</v>
      </c>
      <c r="E20" s="329" t="s">
        <v>7</v>
      </c>
      <c r="F20" s="42" t="s">
        <v>15</v>
      </c>
      <c r="G20" s="294" t="s">
        <v>7</v>
      </c>
      <c r="H20" s="294" t="s">
        <v>8</v>
      </c>
      <c r="I20" s="294" t="s">
        <v>8</v>
      </c>
      <c r="J20" s="294" t="s">
        <v>8</v>
      </c>
      <c r="K20" s="12"/>
    </row>
    <row r="21" spans="1:13" ht="15.75">
      <c r="A21" s="92"/>
      <c r="B21" s="93"/>
      <c r="C21" s="92"/>
      <c r="D21" s="262"/>
      <c r="E21" s="93"/>
      <c r="F21" s="91"/>
      <c r="G21" s="92"/>
      <c r="H21" s="92"/>
      <c r="I21" s="122"/>
      <c r="J21" s="105"/>
      <c r="K21" s="12"/>
    </row>
    <row r="22" spans="1:13" ht="15.75">
      <c r="A22" s="362" t="s">
        <v>384</v>
      </c>
      <c r="B22" s="34" t="s">
        <v>385</v>
      </c>
      <c r="C22" s="92" t="s">
        <v>386</v>
      </c>
      <c r="D22" s="330">
        <v>40.229999999999997</v>
      </c>
      <c r="E22" s="61">
        <v>37.53</v>
      </c>
      <c r="F22" s="422">
        <f>AVERAGE(D22,E22)</f>
        <v>38.879999999999995</v>
      </c>
      <c r="G22" s="108">
        <v>38.79</v>
      </c>
      <c r="H22" s="365">
        <v>208396558</v>
      </c>
      <c r="I22" s="366">
        <v>262000000</v>
      </c>
      <c r="J22" s="365">
        <f>4357000000+506000000</f>
        <v>4863000000</v>
      </c>
      <c r="K22" s="12"/>
    </row>
    <row r="23" spans="1:13" ht="15.75">
      <c r="A23" s="362" t="s">
        <v>387</v>
      </c>
      <c r="B23" s="34" t="s">
        <v>388</v>
      </c>
      <c r="C23" s="92" t="s">
        <v>386</v>
      </c>
      <c r="D23" s="330">
        <v>12.95</v>
      </c>
      <c r="E23" s="61">
        <v>11.08</v>
      </c>
      <c r="F23" s="422">
        <f t="shared" ref="F23:F27" si="0">AVERAGE(D23,E23)</f>
        <v>12.015000000000001</v>
      </c>
      <c r="G23" s="108">
        <v>11.87</v>
      </c>
      <c r="H23" s="365">
        <v>3094445367</v>
      </c>
      <c r="I23" s="365">
        <f>6051000000-2000000</f>
        <v>6049000000</v>
      </c>
      <c r="J23" s="365">
        <f>48260000000+2000000</f>
        <v>48262000000</v>
      </c>
      <c r="K23" s="12"/>
    </row>
    <row r="24" spans="1:13" ht="15.75">
      <c r="A24" s="362" t="s">
        <v>389</v>
      </c>
      <c r="B24" s="280" t="s">
        <v>390</v>
      </c>
      <c r="C24" s="92" t="s">
        <v>386</v>
      </c>
      <c r="D24" s="330">
        <v>25.74</v>
      </c>
      <c r="E24" s="61">
        <v>23.14</v>
      </c>
      <c r="F24" s="422">
        <f t="shared" si="0"/>
        <v>24.439999999999998</v>
      </c>
      <c r="G24" s="108">
        <v>24.12</v>
      </c>
      <c r="H24" s="368">
        <v>2170806347</v>
      </c>
      <c r="I24" s="365">
        <v>49000000</v>
      </c>
      <c r="J24" s="369">
        <f>28566000000</f>
        <v>28566000000</v>
      </c>
      <c r="K24" s="12"/>
    </row>
    <row r="25" spans="1:13" ht="15.75">
      <c r="A25" s="400" t="s">
        <v>391</v>
      </c>
      <c r="B25" s="280" t="s">
        <v>392</v>
      </c>
      <c r="C25" s="92" t="s">
        <v>386</v>
      </c>
      <c r="D25" s="330">
        <v>31.57</v>
      </c>
      <c r="E25" s="61">
        <v>25.6</v>
      </c>
      <c r="F25" s="422">
        <f t="shared" si="0"/>
        <v>28.585000000000001</v>
      </c>
      <c r="G25" s="108">
        <v>29.92</v>
      </c>
      <c r="H25" s="365">
        <f>195847606+44002846</f>
        <v>239850452</v>
      </c>
      <c r="I25" s="366">
        <v>0</v>
      </c>
      <c r="J25" s="365">
        <f>2883100000+2500000</f>
        <v>2885600000</v>
      </c>
      <c r="K25" s="12"/>
    </row>
    <row r="26" spans="1:13" ht="15.75">
      <c r="A26" s="362" t="s">
        <v>393</v>
      </c>
      <c r="B26" s="280" t="s">
        <v>394</v>
      </c>
      <c r="C26" s="92" t="s">
        <v>386</v>
      </c>
      <c r="D26" s="330">
        <v>19.71</v>
      </c>
      <c r="E26" s="61">
        <v>16.45</v>
      </c>
      <c r="F26" s="422">
        <f t="shared" si="0"/>
        <v>18.079999999999998</v>
      </c>
      <c r="G26" s="108">
        <v>18.12</v>
      </c>
      <c r="H26" s="368">
        <v>126440201</v>
      </c>
      <c r="I26" s="365">
        <v>60507000</v>
      </c>
      <c r="J26" s="370">
        <f>1556334000+62513000+4389000</f>
        <v>1623236000</v>
      </c>
      <c r="K26" s="12"/>
    </row>
    <row r="27" spans="1:13" ht="15.75">
      <c r="A27" s="362" t="s">
        <v>395</v>
      </c>
      <c r="B27" s="34" t="s">
        <v>396</v>
      </c>
      <c r="C27" s="92" t="s">
        <v>386</v>
      </c>
      <c r="D27" s="330">
        <v>54.4</v>
      </c>
      <c r="E27" s="61">
        <v>46.55</v>
      </c>
      <c r="F27" s="422">
        <f t="shared" si="0"/>
        <v>50.474999999999994</v>
      </c>
      <c r="G27" s="108">
        <v>50.21</v>
      </c>
      <c r="H27" s="368">
        <v>203000000</v>
      </c>
      <c r="I27" s="365">
        <v>0</v>
      </c>
      <c r="J27" s="368">
        <v>5015000000</v>
      </c>
      <c r="K27" s="12"/>
      <c r="L27" t="s">
        <v>0</v>
      </c>
    </row>
    <row r="28" spans="1:13" ht="15.75">
      <c r="A28" s="362" t="s">
        <v>397</v>
      </c>
      <c r="B28" s="34" t="s">
        <v>398</v>
      </c>
      <c r="C28" s="92" t="s">
        <v>386</v>
      </c>
      <c r="D28" s="330">
        <v>35.11</v>
      </c>
      <c r="E28" s="61">
        <v>30.3</v>
      </c>
      <c r="F28" s="422">
        <f t="shared" ref="F28:F31" si="1">AVERAGE(D28,E28)</f>
        <v>32.704999999999998</v>
      </c>
      <c r="G28" s="108">
        <v>32.840000000000003</v>
      </c>
      <c r="H28" s="365">
        <v>1001043931</v>
      </c>
      <c r="I28" s="365">
        <f>611000000+968000000</f>
        <v>1579000000</v>
      </c>
      <c r="J28" s="365">
        <f>18808000000+988000000</f>
        <v>19796000000</v>
      </c>
      <c r="K28" s="12"/>
      <c r="L28" t="s">
        <v>0</v>
      </c>
    </row>
    <row r="29" spans="1:13" ht="15.75">
      <c r="A29" s="362" t="s">
        <v>399</v>
      </c>
      <c r="B29" s="34" t="s">
        <v>400</v>
      </c>
      <c r="C29" s="92" t="s">
        <v>386</v>
      </c>
      <c r="D29" s="330">
        <v>16.670000000000002</v>
      </c>
      <c r="E29" s="61">
        <v>13.71</v>
      </c>
      <c r="F29" s="422">
        <f t="shared" ref="F29" si="2">AVERAGE(D29,E29)</f>
        <v>15.190000000000001</v>
      </c>
      <c r="G29" s="108">
        <v>16</v>
      </c>
      <c r="H29" s="365">
        <v>110818718</v>
      </c>
      <c r="I29" s="365">
        <f>218307000+371476000+166518000+446970000</f>
        <v>1203271000</v>
      </c>
      <c r="J29" s="365">
        <f>(4416+3293415)*1000</f>
        <v>3297831000</v>
      </c>
      <c r="K29" s="12"/>
      <c r="L29" t="s">
        <v>0</v>
      </c>
    </row>
    <row r="30" spans="1:13" ht="15.75">
      <c r="A30" s="362" t="s">
        <v>401</v>
      </c>
      <c r="B30" s="34" t="s">
        <v>402</v>
      </c>
      <c r="C30" s="92" t="s">
        <v>386</v>
      </c>
      <c r="D30" s="330">
        <v>12.75</v>
      </c>
      <c r="E30" s="61">
        <v>10.68</v>
      </c>
      <c r="F30" s="422">
        <f t="shared" si="1"/>
        <v>11.715</v>
      </c>
      <c r="G30" s="108">
        <v>11.76</v>
      </c>
      <c r="H30" s="365">
        <v>698354498</v>
      </c>
      <c r="I30" s="366">
        <f>1505000000+787000000</f>
        <v>2292000000</v>
      </c>
      <c r="J30" s="367">
        <f>7237000000+50000000+1081000000+1159000000</f>
        <v>9527000000</v>
      </c>
      <c r="K30" s="12"/>
      <c r="L30" t="s">
        <v>0</v>
      </c>
    </row>
    <row r="31" spans="1:13" ht="16.5" thickBot="1">
      <c r="A31" s="401" t="s">
        <v>403</v>
      </c>
      <c r="B31" s="36" t="s">
        <v>404</v>
      </c>
      <c r="C31" s="99" t="s">
        <v>386</v>
      </c>
      <c r="D31" s="426">
        <v>29.06</v>
      </c>
      <c r="E31" s="425">
        <v>24.56</v>
      </c>
      <c r="F31" s="424">
        <f t="shared" si="1"/>
        <v>26.81</v>
      </c>
      <c r="G31" s="423">
        <v>26.85</v>
      </c>
      <c r="H31" s="363">
        <v>384070984</v>
      </c>
      <c r="I31" s="364">
        <v>2105000</v>
      </c>
      <c r="J31" s="363">
        <v>6569582000</v>
      </c>
      <c r="K31" s="12"/>
      <c r="M31" s="10" t="s">
        <v>0</v>
      </c>
    </row>
    <row r="32" spans="1:13" ht="15.75">
      <c r="A32" s="110"/>
      <c r="B32" s="110"/>
      <c r="C32" s="110"/>
      <c r="D32" s="110"/>
      <c r="E32" s="110"/>
      <c r="F32" s="110"/>
      <c r="G32" s="110"/>
      <c r="H32" s="110"/>
      <c r="I32" s="110"/>
      <c r="J32" s="110"/>
      <c r="K32" s="12"/>
      <c r="L32" t="s">
        <v>0</v>
      </c>
    </row>
    <row r="33" spans="1:12" ht="15.75">
      <c r="A33" s="110"/>
      <c r="B33" s="110"/>
      <c r="C33" s="110"/>
      <c r="D33" s="110"/>
      <c r="E33" s="110"/>
      <c r="F33" s="110"/>
      <c r="G33" s="110"/>
      <c r="H33" s="110"/>
      <c r="I33" s="110"/>
      <c r="J33" s="110" t="s">
        <v>0</v>
      </c>
      <c r="K33" s="12"/>
    </row>
    <row r="34" spans="1:12" ht="16.5" thickBot="1">
      <c r="A34" s="111" t="s">
        <v>0</v>
      </c>
      <c r="B34" s="112"/>
      <c r="C34" s="112"/>
      <c r="D34" s="112"/>
      <c r="E34" s="112"/>
      <c r="F34" s="28"/>
      <c r="G34" s="112"/>
      <c r="H34" s="112"/>
      <c r="I34" s="112"/>
      <c r="J34" s="110"/>
      <c r="K34" s="110"/>
      <c r="L34" s="4"/>
    </row>
    <row r="35" spans="1:12" ht="15.75">
      <c r="A35" s="113"/>
      <c r="B35" s="114"/>
      <c r="C35" s="114"/>
      <c r="D35" s="114"/>
      <c r="E35" s="115" t="s">
        <v>0</v>
      </c>
      <c r="F35" s="115" t="s">
        <v>0</v>
      </c>
      <c r="G35" s="116"/>
      <c r="H35" s="114"/>
      <c r="I35" s="114"/>
      <c r="J35" s="117"/>
      <c r="K35" s="110"/>
      <c r="L35" s="4"/>
    </row>
    <row r="36" spans="1:12" ht="15.75">
      <c r="A36" s="91"/>
      <c r="B36" s="93"/>
      <c r="C36" s="93"/>
      <c r="D36" s="95" t="s">
        <v>426</v>
      </c>
      <c r="E36" s="93" t="s">
        <v>426</v>
      </c>
      <c r="F36" s="93" t="s">
        <v>426</v>
      </c>
      <c r="G36" s="95" t="s">
        <v>426</v>
      </c>
      <c r="H36" s="95" t="s">
        <v>426</v>
      </c>
      <c r="I36" s="95" t="s">
        <v>426</v>
      </c>
      <c r="J36" s="118" t="s">
        <v>426</v>
      </c>
      <c r="K36" s="12"/>
      <c r="L36" s="5"/>
    </row>
    <row r="37" spans="1:12" ht="15.75">
      <c r="A37" s="91" t="s">
        <v>0</v>
      </c>
      <c r="B37" s="93" t="s">
        <v>3</v>
      </c>
      <c r="C37" s="93" t="s">
        <v>5</v>
      </c>
      <c r="D37" s="93" t="s">
        <v>12</v>
      </c>
      <c r="E37" s="107" t="s">
        <v>155</v>
      </c>
      <c r="F37" s="107" t="s">
        <v>305</v>
      </c>
      <c r="G37" s="93" t="s">
        <v>212</v>
      </c>
      <c r="H37" s="107" t="s">
        <v>16</v>
      </c>
      <c r="I37" s="107" t="s">
        <v>17</v>
      </c>
      <c r="J37" s="119" t="s">
        <v>52</v>
      </c>
      <c r="K37" s="12"/>
      <c r="L37" s="5"/>
    </row>
    <row r="38" spans="1:12" ht="16.5" thickBot="1">
      <c r="A38" s="98" t="s">
        <v>2</v>
      </c>
      <c r="B38" s="100" t="s">
        <v>4</v>
      </c>
      <c r="C38" s="100" t="s">
        <v>6</v>
      </c>
      <c r="D38" s="100" t="s">
        <v>14</v>
      </c>
      <c r="E38" s="100" t="s">
        <v>14</v>
      </c>
      <c r="F38" s="100" t="s">
        <v>318</v>
      </c>
      <c r="G38" s="100" t="s">
        <v>14</v>
      </c>
      <c r="H38" s="100" t="s">
        <v>373</v>
      </c>
      <c r="I38" s="100" t="s">
        <v>0</v>
      </c>
      <c r="J38" s="120" t="s">
        <v>374</v>
      </c>
      <c r="K38" s="12"/>
      <c r="L38" s="1"/>
    </row>
    <row r="39" spans="1:12" ht="15.75">
      <c r="A39" s="103" t="s">
        <v>7</v>
      </c>
      <c r="B39" s="42" t="s">
        <v>7</v>
      </c>
      <c r="C39" s="42" t="s">
        <v>7</v>
      </c>
      <c r="D39" s="42" t="s">
        <v>15</v>
      </c>
      <c r="E39" s="42" t="s">
        <v>8</v>
      </c>
      <c r="F39" s="42" t="s">
        <v>8</v>
      </c>
      <c r="G39" s="42" t="s">
        <v>8</v>
      </c>
      <c r="H39" s="42" t="s">
        <v>15</v>
      </c>
      <c r="I39" s="42" t="s">
        <v>15</v>
      </c>
      <c r="J39" s="121" t="s">
        <v>15</v>
      </c>
      <c r="K39" s="12"/>
      <c r="L39" s="5"/>
    </row>
    <row r="40" spans="1:12" ht="15.75">
      <c r="A40" s="91"/>
      <c r="B40" s="93"/>
      <c r="C40" s="93"/>
      <c r="D40" s="110"/>
      <c r="E40" s="110"/>
      <c r="F40" s="110"/>
      <c r="G40" s="110"/>
      <c r="H40" s="64"/>
      <c r="I40" s="64"/>
      <c r="J40" s="122"/>
      <c r="K40" s="12"/>
      <c r="L40" s="4"/>
    </row>
    <row r="41" spans="1:12" ht="15.75">
      <c r="A41" s="106" t="str">
        <f t="shared" ref="A41:C48" si="3">+A22</f>
        <v>DCP Midstream LP</v>
      </c>
      <c r="B41" s="93" t="str">
        <f t="shared" si="3"/>
        <v>DCP</v>
      </c>
      <c r="C41" s="93" t="str">
        <f t="shared" si="3"/>
        <v>Pipeline MLPs</v>
      </c>
      <c r="D41" s="123">
        <f t="shared" ref="D41:D50" si="4">(+H22)*G22</f>
        <v>8083702484.8199997</v>
      </c>
      <c r="E41" s="123">
        <f t="shared" ref="E41:E50" si="5">(1/1)*I22</f>
        <v>262000000</v>
      </c>
      <c r="F41" s="123">
        <f>95000000+32000000</f>
        <v>127000000</v>
      </c>
      <c r="G41" s="109">
        <f>(4772/4874)*J22</f>
        <v>4761230201.066885</v>
      </c>
      <c r="H41" s="109">
        <f>+D41+E41+F41+G41</f>
        <v>13233932685.886885</v>
      </c>
      <c r="I41" s="124">
        <f t="shared" ref="I41:I50" si="6">(+D41)/H41</f>
        <v>0.61083146459107618</v>
      </c>
      <c r="J41" s="125">
        <f>(+E41+F41+G41)/H41</f>
        <v>0.38916853540892388</v>
      </c>
      <c r="K41" s="12"/>
      <c r="L41" s="4"/>
    </row>
    <row r="42" spans="1:12" ht="15.75">
      <c r="A42" s="106" t="str">
        <f t="shared" si="3"/>
        <v>Energy Transfer LP</v>
      </c>
      <c r="B42" s="93" t="str">
        <f t="shared" si="3"/>
        <v>ET</v>
      </c>
      <c r="C42" s="93" t="str">
        <f t="shared" si="3"/>
        <v>Pipeline MLPs</v>
      </c>
      <c r="D42" s="123">
        <f t="shared" si="4"/>
        <v>36731066506.290001</v>
      </c>
      <c r="E42" s="123">
        <f t="shared" si="5"/>
        <v>6049000000</v>
      </c>
      <c r="F42" s="123">
        <v>798000000</v>
      </c>
      <c r="G42" s="109">
        <f>(45.42/48.26)*J23</f>
        <v>45421882304.185661</v>
      </c>
      <c r="H42" s="109">
        <f t="shared" ref="H42:H46" si="7">+D42+E42+F42+G42</f>
        <v>88999948810.475662</v>
      </c>
      <c r="I42" s="124">
        <f t="shared" ref="I42:I46" si="8">(+D42)/H42</f>
        <v>0.41270884980516531</v>
      </c>
      <c r="J42" s="125">
        <f t="shared" ref="J42:J46" si="9">(+E42+F42+G42)/H42</f>
        <v>0.58729115019483469</v>
      </c>
      <c r="K42" s="12"/>
      <c r="L42" s="4"/>
    </row>
    <row r="43" spans="1:12" ht="15.75">
      <c r="A43" s="106" t="str">
        <f t="shared" si="3"/>
        <v>Enterprise Products Partnership LP</v>
      </c>
      <c r="B43" s="93" t="str">
        <f t="shared" si="3"/>
        <v>EPD</v>
      </c>
      <c r="C43" s="93" t="str">
        <f t="shared" si="3"/>
        <v>Pipeline MLPs</v>
      </c>
      <c r="D43" s="123">
        <f t="shared" si="4"/>
        <v>52359849089.639999</v>
      </c>
      <c r="E43" s="123">
        <f t="shared" si="5"/>
        <v>49000000</v>
      </c>
      <c r="F43" s="123">
        <v>401000000</v>
      </c>
      <c r="G43" s="109">
        <f>(24.2/27.5)*J24</f>
        <v>25138080000</v>
      </c>
      <c r="H43" s="109">
        <f t="shared" si="7"/>
        <v>77947929089.639999</v>
      </c>
      <c r="I43" s="124">
        <f t="shared" si="8"/>
        <v>0.67172854623791545</v>
      </c>
      <c r="J43" s="125">
        <f t="shared" si="9"/>
        <v>0.3282714537620845</v>
      </c>
      <c r="K43" s="12"/>
      <c r="L43" s="4"/>
    </row>
    <row r="44" spans="1:12" ht="15.75">
      <c r="A44" s="372" t="str">
        <f t="shared" si="3"/>
        <v>Hess Midstream LP</v>
      </c>
      <c r="B44" s="93" t="str">
        <f t="shared" si="3"/>
        <v>HESM</v>
      </c>
      <c r="C44" s="93" t="str">
        <f t="shared" si="3"/>
        <v>Pipeline MLPs</v>
      </c>
      <c r="D44" s="123">
        <f t="shared" si="4"/>
        <v>7176325523.8400002</v>
      </c>
      <c r="E44" s="331">
        <f t="shared" si="5"/>
        <v>0</v>
      </c>
      <c r="F44" s="123">
        <v>0</v>
      </c>
      <c r="G44" s="109">
        <v>2720700000</v>
      </c>
      <c r="H44" s="109">
        <f t="shared" si="7"/>
        <v>9897025523.8400002</v>
      </c>
      <c r="I44" s="124">
        <f t="shared" si="8"/>
        <v>0.72509922365599988</v>
      </c>
      <c r="J44" s="125">
        <f t="shared" si="9"/>
        <v>0.27490077634400006</v>
      </c>
      <c r="K44" s="12"/>
      <c r="L44" s="4"/>
    </row>
    <row r="45" spans="1:12" ht="15.75">
      <c r="A45" s="106" t="str">
        <f t="shared" si="3"/>
        <v>Holly Energy Partners LP</v>
      </c>
      <c r="B45" s="93" t="str">
        <f t="shared" si="3"/>
        <v>HEP</v>
      </c>
      <c r="C45" s="93" t="str">
        <f t="shared" si="3"/>
        <v>Pipeline MLPs</v>
      </c>
      <c r="D45" s="123">
        <f t="shared" si="4"/>
        <v>2291096442.1200004</v>
      </c>
      <c r="E45" s="123">
        <f t="shared" si="5"/>
        <v>60507000</v>
      </c>
      <c r="F45" s="123">
        <f>1720000+968000</f>
        <v>2688000</v>
      </c>
      <c r="G45" s="109">
        <f>(852658/888334)*J26</f>
        <v>1558045916.6124454</v>
      </c>
      <c r="H45" s="109">
        <f t="shared" si="7"/>
        <v>3912337358.7324457</v>
      </c>
      <c r="I45" s="124">
        <f t="shared" si="8"/>
        <v>0.58560809869992669</v>
      </c>
      <c r="J45" s="125">
        <f t="shared" si="9"/>
        <v>0.41439190130007336</v>
      </c>
      <c r="K45" s="12"/>
      <c r="L45" s="4"/>
    </row>
    <row r="46" spans="1:12" ht="15.75">
      <c r="A46" s="106" t="str">
        <f t="shared" si="3"/>
        <v>Magellan Midstream Partners LP</v>
      </c>
      <c r="B46" s="93" t="str">
        <f t="shared" si="3"/>
        <v>MMP</v>
      </c>
      <c r="C46" s="93" t="str">
        <f t="shared" si="3"/>
        <v>Pipeline MLPs</v>
      </c>
      <c r="D46" s="123">
        <f t="shared" si="4"/>
        <v>10192630000</v>
      </c>
      <c r="E46" s="331">
        <f t="shared" si="5"/>
        <v>0</v>
      </c>
      <c r="F46" s="123">
        <f>116900000+31000000</f>
        <v>147900000</v>
      </c>
      <c r="G46" s="109">
        <f>(4232.5/5015)*J27</f>
        <v>4232500000.0000005</v>
      </c>
      <c r="H46" s="109">
        <f t="shared" si="7"/>
        <v>14573030000</v>
      </c>
      <c r="I46" s="124">
        <f t="shared" si="8"/>
        <v>0.69941734834828451</v>
      </c>
      <c r="J46" s="125">
        <f t="shared" si="9"/>
        <v>0.30058265165171555</v>
      </c>
      <c r="K46" s="12"/>
      <c r="L46" s="4"/>
    </row>
    <row r="47" spans="1:12" ht="15.75">
      <c r="A47" s="106" t="str">
        <f t="shared" si="3"/>
        <v>MPLX, LP</v>
      </c>
      <c r="B47" s="93" t="str">
        <f t="shared" si="3"/>
        <v>MPLX</v>
      </c>
      <c r="C47" s="93" t="str">
        <f t="shared" si="3"/>
        <v>Pipeline MLPs</v>
      </c>
      <c r="D47" s="123">
        <f t="shared" si="4"/>
        <v>32874282694.040005</v>
      </c>
      <c r="E47" s="123">
        <f t="shared" si="5"/>
        <v>1579000000</v>
      </c>
      <c r="F47" s="123">
        <f>276000000</f>
        <v>276000000</v>
      </c>
      <c r="G47" s="109">
        <f>(18095/19905)*J28</f>
        <v>17995911580.005024</v>
      </c>
      <c r="H47" s="109">
        <f t="shared" ref="H47:H50" si="10">+D47+E47+F47+G47</f>
        <v>52725194274.045029</v>
      </c>
      <c r="I47" s="124">
        <f t="shared" si="6"/>
        <v>0.62350235303396484</v>
      </c>
      <c r="J47" s="125">
        <f t="shared" ref="J47:J50" si="11">(+E47+F47+G47)/H47</f>
        <v>0.37649764696603516</v>
      </c>
      <c r="K47" s="12"/>
      <c r="L47" s="4" t="s">
        <v>0</v>
      </c>
    </row>
    <row r="48" spans="1:12" ht="15.75">
      <c r="A48" s="106" t="str">
        <f t="shared" si="3"/>
        <v>NuStar Energy LP</v>
      </c>
      <c r="B48" s="93" t="str">
        <f t="shared" si="3"/>
        <v>NS</v>
      </c>
      <c r="C48" s="93" t="str">
        <f t="shared" si="3"/>
        <v>Pipeline MLPs</v>
      </c>
      <c r="D48" s="123">
        <f t="shared" si="4"/>
        <v>1773099488</v>
      </c>
      <c r="E48" s="123">
        <f t="shared" si="5"/>
        <v>1203271000</v>
      </c>
      <c r="F48" s="123">
        <v>62118000</v>
      </c>
      <c r="G48" s="109">
        <f>(3169664/3242289)*J29</f>
        <v>3223961898.1478825</v>
      </c>
      <c r="H48" s="109">
        <f t="shared" ref="H48" si="12">+D48+E48+F48+G48</f>
        <v>6262450386.1478825</v>
      </c>
      <c r="I48" s="124">
        <f t="shared" ref="I48" si="13">(+D48)/H48</f>
        <v>0.28313190183861198</v>
      </c>
      <c r="J48" s="125">
        <f t="shared" ref="J48" si="14">(+E48+F48+G48)/H48</f>
        <v>0.71686809816138797</v>
      </c>
      <c r="K48" s="12"/>
      <c r="L48" s="4"/>
    </row>
    <row r="49" spans="1:12" ht="15.75">
      <c r="A49" s="106" t="str">
        <f t="shared" ref="A49:C49" si="15">+A30</f>
        <v>Plains All American Pipeline LP</v>
      </c>
      <c r="B49" s="93" t="str">
        <f t="shared" si="15"/>
        <v>PAA</v>
      </c>
      <c r="C49" s="93" t="str">
        <f t="shared" si="15"/>
        <v>Pipeline MLPs</v>
      </c>
      <c r="D49" s="123">
        <f t="shared" si="4"/>
        <v>8212648896.4799995</v>
      </c>
      <c r="E49" s="123">
        <f t="shared" si="5"/>
        <v>2292000000</v>
      </c>
      <c r="F49" s="123">
        <v>379000000</v>
      </c>
      <c r="G49" s="109">
        <f>(7.6/8.4)*J30</f>
        <v>8619666666.666666</v>
      </c>
      <c r="H49" s="109">
        <f t="shared" si="10"/>
        <v>19503315563.146667</v>
      </c>
      <c r="I49" s="124">
        <f t="shared" si="6"/>
        <v>0.42108988442962819</v>
      </c>
      <c r="J49" s="125">
        <f t="shared" si="11"/>
        <v>0.57891011557037164</v>
      </c>
      <c r="K49" s="12"/>
      <c r="L49" s="4"/>
    </row>
    <row r="50" spans="1:12" ht="15.75">
      <c r="A50" s="372" t="str">
        <f t="shared" ref="A50:C50" si="16">+A31</f>
        <v>Western Midstream Partners LP</v>
      </c>
      <c r="B50" s="93" t="str">
        <f t="shared" si="16"/>
        <v>WES</v>
      </c>
      <c r="C50" s="93" t="str">
        <f t="shared" si="16"/>
        <v>Pipeline MLPs</v>
      </c>
      <c r="D50" s="123">
        <f t="shared" si="4"/>
        <v>10312305920.4</v>
      </c>
      <c r="E50" s="123">
        <f t="shared" si="5"/>
        <v>2105000</v>
      </c>
      <c r="F50" s="123">
        <v>43660000</v>
      </c>
      <c r="G50" s="109">
        <v>5897794000</v>
      </c>
      <c r="H50" s="109">
        <f t="shared" si="10"/>
        <v>16255864920.4</v>
      </c>
      <c r="I50" s="124">
        <f t="shared" si="6"/>
        <v>0.63437448397216689</v>
      </c>
      <c r="J50" s="125">
        <f t="shared" si="11"/>
        <v>0.36562551602783311</v>
      </c>
      <c r="K50" s="12"/>
      <c r="L50" s="4"/>
    </row>
    <row r="51" spans="1:12" ht="16.5" thickBot="1">
      <c r="A51" s="126"/>
      <c r="B51" s="112"/>
      <c r="C51" s="112"/>
      <c r="D51" s="112"/>
      <c r="E51" s="112"/>
      <c r="F51" s="112"/>
      <c r="G51" s="112"/>
      <c r="H51" s="112"/>
      <c r="I51" s="112"/>
      <c r="J51" s="127"/>
      <c r="K51" s="12"/>
    </row>
    <row r="52" spans="1:12" ht="15.75">
      <c r="A52" s="12"/>
      <c r="B52" s="12"/>
      <c r="C52" s="12"/>
      <c r="D52" s="12"/>
      <c r="E52" s="12"/>
      <c r="F52" s="12"/>
      <c r="G52" s="12"/>
      <c r="H52" s="128" t="s">
        <v>46</v>
      </c>
      <c r="I52" s="131">
        <v>0.72509999999999997</v>
      </c>
      <c r="J52" s="131">
        <v>0.71689999999999998</v>
      </c>
      <c r="K52" s="12"/>
    </row>
    <row r="53" spans="1:12" ht="15.75">
      <c r="E53" s="12" t="s">
        <v>0</v>
      </c>
      <c r="G53" s="12" t="s">
        <v>0</v>
      </c>
      <c r="H53" s="385" t="s">
        <v>47</v>
      </c>
      <c r="I53" s="386">
        <v>0.28310000000000002</v>
      </c>
      <c r="J53" s="386">
        <v>0.27489999999999998</v>
      </c>
      <c r="K53" s="12"/>
    </row>
    <row r="54" spans="1:12" ht="15.75">
      <c r="E54" s="129"/>
      <c r="F54" s="332" t="s">
        <v>0</v>
      </c>
      <c r="G54" s="12" t="s">
        <v>0</v>
      </c>
      <c r="H54" s="14" t="s">
        <v>18</v>
      </c>
      <c r="I54" s="130">
        <f>MEDIAN(I41:I50)</f>
        <v>0.61716690881252045</v>
      </c>
      <c r="J54" s="131">
        <f>MEDIAN(J41:J50)</f>
        <v>0.38283309118747955</v>
      </c>
      <c r="K54" s="12"/>
    </row>
    <row r="55" spans="1:12" ht="15.75">
      <c r="E55" s="333" t="s">
        <v>0</v>
      </c>
      <c r="F55" s="332" t="s">
        <v>0</v>
      </c>
      <c r="G55" s="12" t="s">
        <v>0</v>
      </c>
      <c r="H55" s="14" t="s">
        <v>473</v>
      </c>
      <c r="I55" s="130">
        <f>AVERAGE(I41:I50)</f>
        <v>0.56674921546127399</v>
      </c>
      <c r="J55" s="131">
        <f>AVERAGE(J41:J50)</f>
        <v>0.43325078453872601</v>
      </c>
      <c r="K55" s="12"/>
    </row>
    <row r="56" spans="1:12" ht="16.5" thickBot="1">
      <c r="E56" s="129"/>
      <c r="G56" s="12"/>
      <c r="H56" s="12"/>
      <c r="I56" s="64"/>
      <c r="J56" s="64"/>
      <c r="K56" s="12"/>
    </row>
    <row r="57" spans="1:12" ht="21" thickBot="1">
      <c r="E57" s="129"/>
      <c r="G57" s="12"/>
      <c r="H57" s="219" t="s">
        <v>214</v>
      </c>
      <c r="I57" s="334">
        <v>0.56999999999999995</v>
      </c>
      <c r="J57" s="335">
        <v>0.43</v>
      </c>
      <c r="K57" s="12"/>
    </row>
    <row r="58" spans="1:12" ht="15.75">
      <c r="E58" s="129"/>
      <c r="F58" s="12"/>
      <c r="G58" s="12"/>
      <c r="H58" s="12"/>
      <c r="I58" s="64"/>
      <c r="J58" s="64" t="s">
        <v>0</v>
      </c>
      <c r="K58" s="12"/>
    </row>
    <row r="59" spans="1:12">
      <c r="E59" s="129"/>
      <c r="F59" s="12"/>
      <c r="G59" s="12"/>
      <c r="H59" s="12"/>
      <c r="I59" s="12"/>
      <c r="J59" s="12"/>
      <c r="K59" s="12"/>
    </row>
    <row r="60" spans="1:12">
      <c r="E60" s="129"/>
      <c r="F60" s="12"/>
      <c r="G60" s="12"/>
      <c r="H60" s="12"/>
      <c r="I60" s="12"/>
      <c r="J60" s="12"/>
      <c r="K60" s="12"/>
    </row>
    <row r="61" spans="1:12" ht="23.25">
      <c r="A61" s="22" t="s">
        <v>73</v>
      </c>
      <c r="B61" s="12"/>
      <c r="C61" s="78"/>
      <c r="D61" s="133"/>
      <c r="E61" s="129"/>
      <c r="F61" s="12"/>
      <c r="G61" s="12"/>
      <c r="H61" s="12"/>
      <c r="I61" s="12"/>
      <c r="J61" s="12"/>
      <c r="K61" s="12"/>
    </row>
    <row r="62" spans="1:12" ht="16.5">
      <c r="A62" s="89" t="s">
        <v>55</v>
      </c>
      <c r="B62" s="12"/>
      <c r="C62" s="78"/>
      <c r="D62" s="133"/>
      <c r="E62" s="129"/>
      <c r="F62" s="12"/>
      <c r="G62" s="12"/>
      <c r="H62" s="12"/>
      <c r="I62" s="12"/>
      <c r="J62" s="12"/>
      <c r="K62" s="12"/>
    </row>
    <row r="63" spans="1:12" ht="16.5">
      <c r="A63" s="12" t="s">
        <v>0</v>
      </c>
      <c r="B63" s="12"/>
      <c r="C63" s="78"/>
      <c r="D63" s="133"/>
      <c r="E63" s="129"/>
      <c r="F63" s="12"/>
      <c r="G63" s="12"/>
      <c r="H63" s="12"/>
      <c r="I63" s="12"/>
      <c r="J63" s="12"/>
      <c r="K63" s="12"/>
    </row>
    <row r="64" spans="1:12">
      <c r="A64" s="12" t="s">
        <v>159</v>
      </c>
    </row>
    <row r="65" spans="1:5">
      <c r="A65" s="12" t="s">
        <v>157</v>
      </c>
    </row>
    <row r="66" spans="1:5">
      <c r="A66" s="12" t="s">
        <v>158</v>
      </c>
    </row>
    <row r="67" spans="1:5">
      <c r="A67" s="12" t="s">
        <v>325</v>
      </c>
    </row>
    <row r="70" spans="1:5" ht="26.25">
      <c r="A70" s="292" t="s">
        <v>326</v>
      </c>
    </row>
    <row r="71" spans="1:5" ht="17.25" customHeight="1">
      <c r="A71" s="137" t="s">
        <v>405</v>
      </c>
      <c r="B71" s="361"/>
      <c r="C71" s="361"/>
      <c r="D71" s="355"/>
      <c r="E71" s="355"/>
    </row>
    <row r="72" spans="1:5">
      <c r="A72" s="137" t="s">
        <v>406</v>
      </c>
      <c r="B72" s="361"/>
      <c r="C72" s="361"/>
      <c r="D72" s="355"/>
      <c r="E72" s="355"/>
    </row>
    <row r="73" spans="1:5">
      <c r="A73" s="137" t="s">
        <v>407</v>
      </c>
      <c r="B73" s="355"/>
      <c r="C73" s="355"/>
      <c r="D73" s="355"/>
      <c r="E73" s="355"/>
    </row>
    <row r="74" spans="1:5">
      <c r="A74" s="137" t="s">
        <v>408</v>
      </c>
      <c r="B74" s="355"/>
      <c r="C74" s="355"/>
      <c r="D74" s="355"/>
      <c r="E74" s="355"/>
    </row>
    <row r="75" spans="1:5">
      <c r="A75" s="137" t="s">
        <v>409</v>
      </c>
      <c r="B75" s="355"/>
      <c r="C75" s="355"/>
      <c r="D75" s="355"/>
      <c r="E75" s="355"/>
    </row>
    <row r="76" spans="1:5">
      <c r="A76" s="137" t="s">
        <v>410</v>
      </c>
      <c r="B76" s="355"/>
      <c r="C76" s="355"/>
      <c r="D76" s="355"/>
      <c r="E76" s="355"/>
    </row>
    <row r="77" spans="1:5" ht="20.25" customHeight="1">
      <c r="A77" s="137" t="s">
        <v>411</v>
      </c>
      <c r="B77" s="355"/>
      <c r="C77" s="355"/>
      <c r="D77" s="355"/>
      <c r="E77" s="355"/>
    </row>
    <row r="78" spans="1:5">
      <c r="A78" s="137" t="s">
        <v>412</v>
      </c>
      <c r="B78" s="355"/>
      <c r="C78" s="355"/>
      <c r="D78" s="355"/>
      <c r="E78" s="355"/>
    </row>
    <row r="79" spans="1:5" ht="15.75">
      <c r="A79" s="397" t="s">
        <v>427</v>
      </c>
      <c r="B79" s="355"/>
      <c r="C79" s="355"/>
      <c r="D79" s="355"/>
      <c r="E79" s="355"/>
    </row>
    <row r="80" spans="1:5">
      <c r="A80" s="137" t="s">
        <v>413</v>
      </c>
      <c r="B80" s="355"/>
      <c r="C80" s="355"/>
      <c r="D80" s="355"/>
      <c r="E80" s="355"/>
    </row>
    <row r="81" spans="1:5">
      <c r="A81" s="137" t="s">
        <v>414</v>
      </c>
    </row>
    <row r="82" spans="1:5">
      <c r="A82" s="137" t="s">
        <v>415</v>
      </c>
      <c r="B82" s="355"/>
      <c r="C82" s="355"/>
      <c r="D82" s="355"/>
      <c r="E82" s="355"/>
    </row>
    <row r="83" spans="1:5">
      <c r="A83" s="137" t="s">
        <v>416</v>
      </c>
      <c r="B83" s="355"/>
      <c r="C83" s="355"/>
      <c r="D83" s="355"/>
      <c r="E83" s="355"/>
    </row>
    <row r="84" spans="1:5">
      <c r="A84" s="137" t="s">
        <v>417</v>
      </c>
      <c r="B84" s="355"/>
      <c r="C84" s="355"/>
      <c r="D84" s="355"/>
      <c r="E84" s="355"/>
    </row>
    <row r="85" spans="1:5">
      <c r="A85" s="137" t="s">
        <v>418</v>
      </c>
      <c r="B85" s="355"/>
      <c r="C85" s="355"/>
      <c r="D85" s="355"/>
      <c r="E85" s="355"/>
    </row>
    <row r="86" spans="1:5">
      <c r="A86" s="137" t="s">
        <v>419</v>
      </c>
      <c r="B86" s="355"/>
      <c r="C86" s="355"/>
      <c r="D86" s="355"/>
      <c r="E86" s="355"/>
    </row>
    <row r="87" spans="1:5">
      <c r="A87" s="137" t="s">
        <v>420</v>
      </c>
    </row>
    <row r="88" spans="1:5">
      <c r="A88" s="137"/>
    </row>
    <row r="89" spans="1:5" ht="26.25">
      <c r="A89" s="292" t="s">
        <v>421</v>
      </c>
    </row>
    <row r="90" spans="1:5">
      <c r="A90" s="218" t="s">
        <v>422</v>
      </c>
    </row>
    <row r="91" spans="1:5">
      <c r="A91" s="218" t="s">
        <v>423</v>
      </c>
    </row>
    <row r="92" spans="1:5" ht="26.25">
      <c r="A92" s="292" t="s">
        <v>424</v>
      </c>
    </row>
    <row r="93" spans="1:5">
      <c r="A93" s="218" t="s">
        <v>425</v>
      </c>
    </row>
  </sheetData>
  <pageMargins left="0.25" right="0.25" top="0.75" bottom="0.75" header="0.3" footer="0.3"/>
  <pageSetup scale="34" orientation="landscape" r:id="rId1"/>
  <rowBreaks count="1" manualBreakCount="1">
    <brk id="57" max="11" man="1"/>
  </rowBreaks>
  <colBreaks count="1" manualBreakCount="1">
    <brk id="11" max="9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J66"/>
  <sheetViews>
    <sheetView view="pageBreakPreview" zoomScale="70" zoomScaleNormal="80" zoomScaleSheetLayoutView="70" zoomScalePageLayoutView="70" workbookViewId="0">
      <pane xSplit="1" topLeftCell="B1" activePane="topRight" state="frozen"/>
      <selection pane="topRight" activeCell="A10" sqref="A10"/>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3" t="s">
        <v>1</v>
      </c>
      <c r="B1" s="12"/>
      <c r="C1" s="12"/>
      <c r="D1" s="12"/>
      <c r="E1" s="12"/>
      <c r="F1" s="12"/>
      <c r="G1" s="12"/>
      <c r="H1" s="12"/>
    </row>
    <row r="2" spans="1:9" ht="15.75">
      <c r="A2" s="24" t="s">
        <v>9</v>
      </c>
      <c r="B2" s="12"/>
      <c r="C2" s="12"/>
      <c r="D2" s="12"/>
      <c r="E2" s="12"/>
      <c r="F2" s="12"/>
      <c r="G2" s="12"/>
      <c r="H2" s="12"/>
    </row>
    <row r="3" spans="1:9">
      <c r="A3" s="25" t="s">
        <v>63</v>
      </c>
      <c r="B3" s="12"/>
      <c r="C3" s="12"/>
      <c r="D3" s="12"/>
      <c r="E3" s="12"/>
      <c r="F3" s="12"/>
      <c r="G3" s="12"/>
      <c r="H3" s="12"/>
    </row>
    <row r="4" spans="1:9">
      <c r="A4" s="25"/>
      <c r="B4" s="12"/>
      <c r="C4" s="12"/>
      <c r="D4" s="12"/>
      <c r="E4" s="12"/>
      <c r="F4" s="218" t="s">
        <v>0</v>
      </c>
      <c r="G4" s="12"/>
      <c r="H4" s="12"/>
    </row>
    <row r="5" spans="1:9">
      <c r="B5" s="12"/>
      <c r="C5" s="12"/>
      <c r="D5" s="12"/>
      <c r="E5" s="26"/>
      <c r="F5" s="218" t="s">
        <v>0</v>
      </c>
      <c r="G5" s="12"/>
      <c r="H5" s="12" t="s">
        <v>0</v>
      </c>
    </row>
    <row r="6" spans="1:9">
      <c r="A6" s="89"/>
      <c r="B6" s="34"/>
      <c r="C6" s="34"/>
      <c r="D6" s="34"/>
      <c r="E6" s="34"/>
      <c r="F6" s="34"/>
      <c r="G6" s="14"/>
      <c r="H6" s="88"/>
      <c r="I6" s="3"/>
    </row>
    <row r="7" spans="1:9">
      <c r="A7" s="43"/>
      <c r="B7" s="43"/>
      <c r="C7" s="43"/>
      <c r="D7" s="43"/>
      <c r="E7" s="43"/>
      <c r="F7" s="43"/>
      <c r="G7" s="43"/>
      <c r="H7" s="43"/>
      <c r="I7" s="2"/>
    </row>
    <row r="8" spans="1:9" ht="15.75" thickBot="1">
      <c r="A8" s="43"/>
      <c r="B8" s="43"/>
      <c r="C8" s="43"/>
      <c r="D8" s="90"/>
      <c r="E8" s="28"/>
      <c r="F8" s="90"/>
      <c r="H8" s="43"/>
      <c r="I8" s="2"/>
    </row>
    <row r="9" spans="1:9" ht="21" thickBot="1">
      <c r="A9" s="27" t="str">
        <f>+'S&amp;D'!A12</f>
        <v>Liquid Transportation Pipeline Carriers</v>
      </c>
      <c r="B9" s="43"/>
      <c r="C9" s="43"/>
      <c r="D9" s="43"/>
      <c r="E9" s="31" t="s">
        <v>316</v>
      </c>
      <c r="F9" s="43"/>
      <c r="H9" s="12"/>
    </row>
    <row r="10" spans="1:9" ht="18.75" thickBot="1">
      <c r="A10" s="30"/>
      <c r="B10" s="43"/>
      <c r="C10" s="43"/>
      <c r="D10" s="90"/>
      <c r="E10" s="36" t="s">
        <v>77</v>
      </c>
      <c r="F10" s="90"/>
      <c r="H10" s="12"/>
    </row>
    <row r="11" spans="1:9" ht="18">
      <c r="A11" s="30"/>
      <c r="B11" s="43"/>
      <c r="C11" s="43"/>
      <c r="D11" s="43"/>
      <c r="E11" s="34"/>
      <c r="F11" s="43"/>
      <c r="H11" s="12"/>
    </row>
    <row r="12" spans="1:9" ht="18">
      <c r="A12" s="30"/>
      <c r="B12" s="43"/>
      <c r="C12" s="43"/>
      <c r="D12" s="43"/>
      <c r="E12" s="34"/>
      <c r="F12" s="43"/>
      <c r="H12" s="12"/>
    </row>
    <row r="13" spans="1:9">
      <c r="B13" s="43"/>
      <c r="C13" s="43"/>
      <c r="D13" s="43"/>
      <c r="E13" s="34"/>
      <c r="F13" s="43"/>
      <c r="H13" s="12"/>
    </row>
    <row r="14" spans="1:9" ht="18">
      <c r="A14" s="30"/>
      <c r="B14" s="43"/>
      <c r="C14" s="43"/>
      <c r="D14" s="43"/>
      <c r="E14" s="13" t="s">
        <v>0</v>
      </c>
      <c r="F14" s="43"/>
      <c r="H14" s="12"/>
    </row>
    <row r="15" spans="1:9" ht="15.75" thickBot="1">
      <c r="A15" s="41" t="s">
        <v>0</v>
      </c>
      <c r="B15" s="41" t="s">
        <v>0</v>
      </c>
      <c r="C15" s="41" t="s">
        <v>0</v>
      </c>
      <c r="D15" s="41"/>
      <c r="E15" s="41"/>
      <c r="F15" s="41"/>
      <c r="H15" s="12"/>
    </row>
    <row r="16" spans="1:9" ht="15.75">
      <c r="A16" s="274"/>
      <c r="B16" s="275"/>
      <c r="C16" s="276"/>
      <c r="D16" s="259" t="s">
        <v>0</v>
      </c>
      <c r="E16" s="260" t="s">
        <v>0</v>
      </c>
      <c r="F16" s="259" t="s">
        <v>0</v>
      </c>
      <c r="H16" s="12"/>
    </row>
    <row r="17" spans="1:10" ht="15.75">
      <c r="A17" s="91" t="s">
        <v>0</v>
      </c>
      <c r="B17" s="92" t="s">
        <v>3</v>
      </c>
      <c r="C17" s="93" t="s">
        <v>5</v>
      </c>
      <c r="D17" s="94" t="s">
        <v>0</v>
      </c>
      <c r="E17" s="261" t="s">
        <v>0</v>
      </c>
      <c r="F17" s="94" t="s">
        <v>308</v>
      </c>
      <c r="H17" s="12"/>
    </row>
    <row r="18" spans="1:10" ht="15.75">
      <c r="A18" s="91"/>
      <c r="B18" s="92" t="s">
        <v>4</v>
      </c>
      <c r="C18" s="93" t="s">
        <v>6</v>
      </c>
      <c r="D18" s="94" t="s">
        <v>317</v>
      </c>
      <c r="E18" s="261" t="s">
        <v>317</v>
      </c>
      <c r="F18" s="94" t="s">
        <v>133</v>
      </c>
      <c r="H18" s="12"/>
    </row>
    <row r="19" spans="1:10" ht="17.25" thickBot="1">
      <c r="A19" s="98" t="s">
        <v>2</v>
      </c>
      <c r="B19" s="99" t="s">
        <v>0</v>
      </c>
      <c r="C19" s="100" t="s">
        <v>0</v>
      </c>
      <c r="D19" s="318" t="s">
        <v>306</v>
      </c>
      <c r="E19" s="317" t="s">
        <v>61</v>
      </c>
      <c r="F19" s="99" t="s">
        <v>0</v>
      </c>
      <c r="H19" s="12"/>
    </row>
    <row r="20" spans="1:10">
      <c r="A20" s="319" t="s">
        <v>7</v>
      </c>
      <c r="B20" s="294" t="s">
        <v>7</v>
      </c>
      <c r="C20" s="320" t="s">
        <v>7</v>
      </c>
      <c r="D20" s="294" t="s">
        <v>7</v>
      </c>
      <c r="E20" s="121" t="s">
        <v>307</v>
      </c>
      <c r="F20" s="104"/>
      <c r="H20" s="12"/>
    </row>
    <row r="21" spans="1:10" ht="15.75">
      <c r="A21" s="91"/>
      <c r="B21" s="92"/>
      <c r="C21" s="93"/>
      <c r="D21" s="92"/>
      <c r="E21" s="262"/>
      <c r="F21" s="92"/>
      <c r="H21" s="12"/>
    </row>
    <row r="22" spans="1:10" ht="15.75">
      <c r="A22" s="106" t="str">
        <f>+'S&amp;D'!A22</f>
        <v>DCP Midstream LP</v>
      </c>
      <c r="B22" s="83" t="str">
        <f>+'S&amp;D'!B22</f>
        <v>DCP</v>
      </c>
      <c r="C22" s="93" t="str">
        <f>+'S&amp;D'!C22</f>
        <v>Pipeline MLPs</v>
      </c>
      <c r="D22" s="277">
        <f>+'S&amp;D'!D41</f>
        <v>8083702484.8199997</v>
      </c>
      <c r="E22" s="278">
        <v>6036000000</v>
      </c>
      <c r="F22" s="108">
        <f>+D22/E22</f>
        <v>1.3392482579224652</v>
      </c>
      <c r="H22" s="12"/>
    </row>
    <row r="23" spans="1:10" ht="15.75">
      <c r="A23" s="106" t="str">
        <f>+'S&amp;D'!A23</f>
        <v>Energy Transfer LP</v>
      </c>
      <c r="B23" s="83" t="str">
        <f>+'S&amp;D'!B23</f>
        <v>ET</v>
      </c>
      <c r="C23" s="93" t="str">
        <f>+'S&amp;D'!C23</f>
        <v>Pipeline MLPs</v>
      </c>
      <c r="D23" s="277">
        <f>+'S&amp;D'!D42</f>
        <v>36731066506.290001</v>
      </c>
      <c r="E23" s="278">
        <v>40659000000</v>
      </c>
      <c r="F23" s="108">
        <f t="shared" ref="F23:F31" si="0">+D23/E23</f>
        <v>0.90339325871984066</v>
      </c>
      <c r="H23" s="12"/>
    </row>
    <row r="24" spans="1:10" ht="15.75">
      <c r="A24" s="106" t="str">
        <f>+'S&amp;D'!A24</f>
        <v>Enterprise Products Partnership LP</v>
      </c>
      <c r="B24" s="83" t="str">
        <f>+'S&amp;D'!B24</f>
        <v>EPD</v>
      </c>
      <c r="C24" s="93" t="str">
        <f>+'S&amp;D'!C24</f>
        <v>Pipeline MLPs</v>
      </c>
      <c r="D24" s="277">
        <f>+'S&amp;D'!D43</f>
        <v>52359849089.639999</v>
      </c>
      <c r="E24" s="278">
        <v>27702000000</v>
      </c>
      <c r="F24" s="108">
        <f t="shared" si="0"/>
        <v>1.8901107894606888</v>
      </c>
      <c r="H24" s="12"/>
    </row>
    <row r="25" spans="1:10" ht="15.75">
      <c r="A25" s="106" t="str">
        <f>+'S&amp;D'!A25</f>
        <v>Hess Midstream LP</v>
      </c>
      <c r="B25" s="83" t="str">
        <f>+'S&amp;D'!B25</f>
        <v>HESM</v>
      </c>
      <c r="C25" s="93" t="str">
        <f>+'S&amp;D'!C25</f>
        <v>Pipeline MLPs</v>
      </c>
      <c r="D25" s="277">
        <f>+'S&amp;D'!D44</f>
        <v>7176325523.8400002</v>
      </c>
      <c r="E25" s="278">
        <v>529000000</v>
      </c>
      <c r="F25" s="108">
        <f t="shared" si="0"/>
        <v>13.565832748279773</v>
      </c>
      <c r="H25" s="12"/>
    </row>
    <row r="26" spans="1:10" ht="15.75">
      <c r="A26" s="106" t="str">
        <f>+'S&amp;D'!A26</f>
        <v>Holly Energy Partners LP</v>
      </c>
      <c r="B26" s="83" t="str">
        <f>+'S&amp;D'!B26</f>
        <v>HEP</v>
      </c>
      <c r="C26" s="93" t="str">
        <f>+'S&amp;D'!C26</f>
        <v>Pipeline MLPs</v>
      </c>
      <c r="D26" s="277">
        <f>+'S&amp;D'!D45</f>
        <v>2291096442.1200004</v>
      </c>
      <c r="E26" s="278">
        <v>926880000</v>
      </c>
      <c r="F26" s="108">
        <f t="shared" si="0"/>
        <v>2.471837176462973</v>
      </c>
      <c r="H26" s="12"/>
    </row>
    <row r="27" spans="1:10" ht="15.75">
      <c r="A27" s="106" t="str">
        <f>+'S&amp;D'!A27</f>
        <v>Magellan Midstream Partners LP</v>
      </c>
      <c r="B27" s="83" t="str">
        <f>+'S&amp;D'!B27</f>
        <v>MMP</v>
      </c>
      <c r="C27" s="93" t="str">
        <f>+'S&amp;D'!C27</f>
        <v>Pipeline MLPs</v>
      </c>
      <c r="D27" s="277">
        <f>+'S&amp;D'!D46</f>
        <v>10192630000</v>
      </c>
      <c r="E27" s="278">
        <v>1899800000</v>
      </c>
      <c r="F27" s="108">
        <f t="shared" si="0"/>
        <v>5.3651068533529847</v>
      </c>
      <c r="H27" s="12"/>
    </row>
    <row r="28" spans="1:10" ht="15.75">
      <c r="A28" s="106" t="str">
        <f>+'S&amp;D'!A28</f>
        <v>MPLX, LP</v>
      </c>
      <c r="B28" s="83" t="str">
        <f>+'S&amp;D'!B28</f>
        <v>MPLX</v>
      </c>
      <c r="C28" s="93" t="str">
        <f>+'S&amp;D'!C28</f>
        <v>Pipeline MLPs</v>
      </c>
      <c r="D28" s="277">
        <f>+'S&amp;D'!D47</f>
        <v>32874282694.040005</v>
      </c>
      <c r="E28" s="278">
        <v>12546000000</v>
      </c>
      <c r="F28" s="108">
        <f t="shared" si="0"/>
        <v>2.6202999118476011</v>
      </c>
      <c r="H28" s="12"/>
    </row>
    <row r="29" spans="1:10" ht="15.75">
      <c r="A29" s="106" t="str">
        <f>+'S&amp;D'!A29</f>
        <v>NuStar Energy LP</v>
      </c>
      <c r="B29" s="83" t="str">
        <f>+'S&amp;D'!B29</f>
        <v>NS</v>
      </c>
      <c r="C29" s="93" t="str">
        <f>+'S&amp;D'!C29</f>
        <v>Pipeline MLPs</v>
      </c>
      <c r="D29" s="277">
        <f>+'S&amp;D'!D48</f>
        <v>1773099488</v>
      </c>
      <c r="E29" s="278">
        <v>902316000</v>
      </c>
      <c r="F29" s="108">
        <f t="shared" si="0"/>
        <v>1.9650538037671947</v>
      </c>
      <c r="H29" s="12"/>
    </row>
    <row r="30" spans="1:10" ht="15.75">
      <c r="A30" s="106" t="str">
        <f>+'S&amp;D'!A30</f>
        <v>Plains All American Pipeline LP</v>
      </c>
      <c r="B30" s="83" t="str">
        <f>+'S&amp;D'!B30</f>
        <v>PAA</v>
      </c>
      <c r="C30" s="93" t="str">
        <f>+'S&amp;D'!C30</f>
        <v>Pipeline MLPs</v>
      </c>
      <c r="D30" s="277">
        <f>+'S&amp;D'!D49</f>
        <v>8212648896.4799995</v>
      </c>
      <c r="E30" s="278">
        <v>13325000000</v>
      </c>
      <c r="F30" s="108">
        <f t="shared" si="0"/>
        <v>0.6163338759084428</v>
      </c>
      <c r="H30" s="12"/>
    </row>
    <row r="31" spans="1:10" ht="16.5" thickBot="1">
      <c r="A31" s="324" t="str">
        <f>+'S&amp;D'!A31</f>
        <v>Western Midstream Partners LP</v>
      </c>
      <c r="B31" s="84" t="str">
        <f>+'S&amp;D'!B31</f>
        <v>WES</v>
      </c>
      <c r="C31" s="100" t="str">
        <f>+'S&amp;D'!C31</f>
        <v>Pipeline MLPs</v>
      </c>
      <c r="D31" s="325">
        <f>+'S&amp;D'!D50</f>
        <v>10312305920.4</v>
      </c>
      <c r="E31" s="278">
        <v>3108115000</v>
      </c>
      <c r="F31" s="108">
        <f t="shared" si="0"/>
        <v>3.317864982601995</v>
      </c>
      <c r="H31" s="12"/>
      <c r="J31" s="10" t="s">
        <v>0</v>
      </c>
    </row>
    <row r="32" spans="1:10" ht="27" customHeight="1" thickBot="1">
      <c r="A32" s="126"/>
      <c r="B32" s="112"/>
      <c r="C32" s="112"/>
      <c r="D32" s="127"/>
      <c r="E32" s="323" t="s">
        <v>315</v>
      </c>
      <c r="F32" s="220">
        <f>AVERAGE(F22:F31)</f>
        <v>3.4055081658323956</v>
      </c>
      <c r="H32" s="12"/>
    </row>
    <row r="33" spans="1:8" ht="15.75">
      <c r="A33" s="110"/>
      <c r="B33" s="110"/>
      <c r="C33" s="110"/>
      <c r="D33" s="110"/>
      <c r="E33" s="271"/>
      <c r="F33" s="273"/>
      <c r="H33" s="12"/>
    </row>
    <row r="34" spans="1:8" ht="15.75">
      <c r="A34" s="110"/>
      <c r="B34" s="110"/>
      <c r="C34" s="110"/>
      <c r="D34" s="110"/>
      <c r="E34" s="271"/>
      <c r="F34" s="273"/>
      <c r="H34" s="12"/>
    </row>
    <row r="35" spans="1:8" ht="15.75">
      <c r="A35" s="110"/>
      <c r="B35" s="110"/>
      <c r="C35" s="110"/>
      <c r="D35" s="110"/>
      <c r="E35" s="271"/>
      <c r="F35" s="273"/>
      <c r="H35" s="12"/>
    </row>
    <row r="36" spans="1:8" ht="16.5" thickBot="1">
      <c r="A36" s="110"/>
      <c r="B36" s="110"/>
      <c r="C36" s="110"/>
      <c r="D36" s="110"/>
      <c r="E36" s="110"/>
      <c r="F36" s="110"/>
      <c r="H36" s="12"/>
    </row>
    <row r="37" spans="1:8" ht="15.75">
      <c r="A37" s="274"/>
      <c r="B37" s="275"/>
      <c r="C37" s="276"/>
      <c r="D37" s="259" t="s">
        <v>0</v>
      </c>
      <c r="E37" s="260" t="s">
        <v>0</v>
      </c>
      <c r="F37" s="259" t="s">
        <v>0</v>
      </c>
      <c r="H37" s="12"/>
    </row>
    <row r="38" spans="1:8" ht="15.75">
      <c r="A38" s="91" t="s">
        <v>0</v>
      </c>
      <c r="B38" s="92" t="s">
        <v>3</v>
      </c>
      <c r="C38" s="93" t="s">
        <v>5</v>
      </c>
      <c r="D38" s="94" t="s">
        <v>0</v>
      </c>
      <c r="E38" s="261" t="s">
        <v>0</v>
      </c>
      <c r="F38" s="94" t="s">
        <v>308</v>
      </c>
      <c r="H38" s="12"/>
    </row>
    <row r="39" spans="1:8" ht="15.75">
      <c r="A39" s="91"/>
      <c r="B39" s="92" t="s">
        <v>4</v>
      </c>
      <c r="C39" s="93" t="s">
        <v>6</v>
      </c>
      <c r="D39" s="94" t="s">
        <v>309</v>
      </c>
      <c r="E39" s="261" t="s">
        <v>309</v>
      </c>
      <c r="F39" s="94" t="s">
        <v>133</v>
      </c>
    </row>
    <row r="40" spans="1:8" ht="17.25" thickBot="1">
      <c r="A40" s="98" t="s">
        <v>2</v>
      </c>
      <c r="B40" s="99" t="s">
        <v>0</v>
      </c>
      <c r="C40" s="100" t="s">
        <v>0</v>
      </c>
      <c r="D40" s="318" t="s">
        <v>306</v>
      </c>
      <c r="E40" s="317" t="s">
        <v>61</v>
      </c>
      <c r="F40" s="99" t="s">
        <v>0</v>
      </c>
    </row>
    <row r="41" spans="1:8">
      <c r="A41" s="319" t="s">
        <v>7</v>
      </c>
      <c r="B41" s="294" t="s">
        <v>7</v>
      </c>
      <c r="C41" s="320" t="s">
        <v>7</v>
      </c>
      <c r="D41" s="294" t="s">
        <v>307</v>
      </c>
      <c r="E41" s="121" t="s">
        <v>307</v>
      </c>
      <c r="F41" s="104"/>
    </row>
    <row r="42" spans="1:8" ht="15.75">
      <c r="A42" s="91"/>
      <c r="B42" s="92"/>
      <c r="C42" s="93"/>
      <c r="D42" s="92"/>
      <c r="E42" s="262"/>
      <c r="F42" s="92"/>
    </row>
    <row r="43" spans="1:8" ht="15.75">
      <c r="A43" s="106" t="str">
        <f t="shared" ref="A43:C52" si="1">+A22</f>
        <v>DCP Midstream LP</v>
      </c>
      <c r="B43" s="83" t="str">
        <f t="shared" si="1"/>
        <v>DCP</v>
      </c>
      <c r="C43" s="93" t="str">
        <f t="shared" si="1"/>
        <v>Pipeline MLPs</v>
      </c>
      <c r="D43" s="277">
        <f>+'S&amp;D'!G41</f>
        <v>4761230201.066885</v>
      </c>
      <c r="E43" s="278">
        <f>+'S&amp;D'!J22</f>
        <v>4863000000</v>
      </c>
      <c r="F43" s="108">
        <f>+D43/E43</f>
        <v>0.97907263028313485</v>
      </c>
    </row>
    <row r="44" spans="1:8" ht="15.75">
      <c r="A44" s="106" t="str">
        <f t="shared" si="1"/>
        <v>Energy Transfer LP</v>
      </c>
      <c r="B44" s="83" t="str">
        <f t="shared" si="1"/>
        <v>ET</v>
      </c>
      <c r="C44" s="93" t="str">
        <f t="shared" si="1"/>
        <v>Pipeline MLPs</v>
      </c>
      <c r="D44" s="277">
        <f>+'S&amp;D'!G42</f>
        <v>45421882304.185661</v>
      </c>
      <c r="E44" s="278">
        <f>+'S&amp;D'!J23</f>
        <v>48262000000</v>
      </c>
      <c r="F44" s="108">
        <f t="shared" ref="F44:F48" si="2">+D44/E44</f>
        <v>0.9411520928305015</v>
      </c>
    </row>
    <row r="45" spans="1:8" ht="15.75">
      <c r="A45" s="106" t="str">
        <f t="shared" si="1"/>
        <v>Enterprise Products Partnership LP</v>
      </c>
      <c r="B45" s="83" t="str">
        <f t="shared" si="1"/>
        <v>EPD</v>
      </c>
      <c r="C45" s="93" t="str">
        <f t="shared" si="1"/>
        <v>Pipeline MLPs</v>
      </c>
      <c r="D45" s="277">
        <f>+'S&amp;D'!G43</f>
        <v>25138080000</v>
      </c>
      <c r="E45" s="278">
        <f>+'S&amp;D'!J24</f>
        <v>28566000000</v>
      </c>
      <c r="F45" s="108">
        <f t="shared" si="2"/>
        <v>0.88</v>
      </c>
    </row>
    <row r="46" spans="1:8" ht="15.75">
      <c r="A46" s="106" t="str">
        <f t="shared" si="1"/>
        <v>Hess Midstream LP</v>
      </c>
      <c r="B46" s="83" t="str">
        <f t="shared" si="1"/>
        <v>HESM</v>
      </c>
      <c r="C46" s="93" t="str">
        <f t="shared" si="1"/>
        <v>Pipeline MLPs</v>
      </c>
      <c r="D46" s="277">
        <f>+'S&amp;D'!G44</f>
        <v>2720700000</v>
      </c>
      <c r="E46" s="278">
        <f>+'S&amp;D'!J25</f>
        <v>2885600000</v>
      </c>
      <c r="F46" s="108">
        <f t="shared" si="2"/>
        <v>0.94285417244247294</v>
      </c>
    </row>
    <row r="47" spans="1:8" ht="15.75">
      <c r="A47" s="106" t="str">
        <f t="shared" si="1"/>
        <v>Holly Energy Partners LP</v>
      </c>
      <c r="B47" s="83" t="str">
        <f t="shared" si="1"/>
        <v>HEP</v>
      </c>
      <c r="C47" s="93" t="str">
        <f t="shared" si="1"/>
        <v>Pipeline MLPs</v>
      </c>
      <c r="D47" s="277">
        <f>+'S&amp;D'!G45</f>
        <v>1558045916.6124454</v>
      </c>
      <c r="E47" s="278">
        <f>+'S&amp;D'!J26</f>
        <v>1623236000</v>
      </c>
      <c r="F47" s="108">
        <f t="shared" si="2"/>
        <v>0.95983942976403025</v>
      </c>
    </row>
    <row r="48" spans="1:8" ht="15.75">
      <c r="A48" s="106" t="str">
        <f t="shared" si="1"/>
        <v>Magellan Midstream Partners LP</v>
      </c>
      <c r="B48" s="83" t="str">
        <f t="shared" si="1"/>
        <v>MMP</v>
      </c>
      <c r="C48" s="93" t="str">
        <f t="shared" si="1"/>
        <v>Pipeline MLPs</v>
      </c>
      <c r="D48" s="277">
        <f>+'S&amp;D'!G46</f>
        <v>4232500000.0000005</v>
      </c>
      <c r="E48" s="278">
        <f>+'S&amp;D'!J27</f>
        <v>5015000000</v>
      </c>
      <c r="F48" s="108">
        <f t="shared" si="2"/>
        <v>0.84396809571286147</v>
      </c>
    </row>
    <row r="49" spans="1:6" ht="15.75">
      <c r="A49" s="106" t="str">
        <f t="shared" si="1"/>
        <v>MPLX, LP</v>
      </c>
      <c r="B49" s="83" t="str">
        <f t="shared" si="1"/>
        <v>MPLX</v>
      </c>
      <c r="C49" s="93" t="str">
        <f t="shared" si="1"/>
        <v>Pipeline MLPs</v>
      </c>
      <c r="D49" s="277">
        <f>+'S&amp;D'!G47</f>
        <v>17995911580.005024</v>
      </c>
      <c r="E49" s="278">
        <f>+'S&amp;D'!J28</f>
        <v>19796000000</v>
      </c>
      <c r="F49" s="108">
        <f>+D49/E49</f>
        <v>0.90906807334840489</v>
      </c>
    </row>
    <row r="50" spans="1:6" ht="15.75">
      <c r="A50" s="106" t="str">
        <f t="shared" si="1"/>
        <v>NuStar Energy LP</v>
      </c>
      <c r="B50" s="83" t="str">
        <f t="shared" si="1"/>
        <v>NS</v>
      </c>
      <c r="C50" s="93" t="str">
        <f t="shared" si="1"/>
        <v>Pipeline MLPs</v>
      </c>
      <c r="D50" s="277">
        <f>+'S&amp;D'!G48</f>
        <v>3223961898.1478825</v>
      </c>
      <c r="E50" s="278">
        <f>+'S&amp;D'!J29</f>
        <v>3297831000</v>
      </c>
      <c r="F50" s="108">
        <f t="shared" ref="F50:F52" si="3">+D50/E50</f>
        <v>0.97760070123298692</v>
      </c>
    </row>
    <row r="51" spans="1:6" ht="15.75">
      <c r="A51" s="106" t="str">
        <f t="shared" si="1"/>
        <v>Plains All American Pipeline LP</v>
      </c>
      <c r="B51" s="83" t="str">
        <f t="shared" si="1"/>
        <v>PAA</v>
      </c>
      <c r="C51" s="93" t="str">
        <f t="shared" si="1"/>
        <v>Pipeline MLPs</v>
      </c>
      <c r="D51" s="277">
        <f>+'S&amp;D'!G49</f>
        <v>8619666666.666666</v>
      </c>
      <c r="E51" s="278">
        <f>+'S&amp;D'!J30</f>
        <v>9527000000</v>
      </c>
      <c r="F51" s="108">
        <f t="shared" si="3"/>
        <v>0.90476190476190466</v>
      </c>
    </row>
    <row r="52" spans="1:6" ht="16.5" thickBot="1">
      <c r="A52" s="324" t="str">
        <f t="shared" si="1"/>
        <v>Western Midstream Partners LP</v>
      </c>
      <c r="B52" s="84" t="str">
        <f t="shared" si="1"/>
        <v>WES</v>
      </c>
      <c r="C52" s="100" t="str">
        <f t="shared" si="1"/>
        <v>Pipeline MLPs</v>
      </c>
      <c r="D52" s="325">
        <f>+'S&amp;D'!G50</f>
        <v>5897794000</v>
      </c>
      <c r="E52" s="278">
        <f>+'S&amp;D'!J31</f>
        <v>6569582000</v>
      </c>
      <c r="F52" s="108">
        <f t="shared" si="3"/>
        <v>0.89774265699096234</v>
      </c>
    </row>
    <row r="53" spans="1:6" ht="27.75" customHeight="1" thickBot="1">
      <c r="A53" s="321"/>
      <c r="B53" s="162"/>
      <c r="C53" s="162"/>
      <c r="D53" s="322"/>
      <c r="E53" s="323" t="s">
        <v>315</v>
      </c>
      <c r="F53" s="220">
        <f>AVERAGE(F43:F52)</f>
        <v>0.92360597573672598</v>
      </c>
    </row>
    <row r="58" spans="1:6">
      <c r="C58" s="263" t="s">
        <v>310</v>
      </c>
      <c r="D58" s="263" t="s">
        <v>311</v>
      </c>
      <c r="E58" s="263"/>
    </row>
    <row r="59" spans="1:6">
      <c r="A59" s="265"/>
      <c r="B59" s="265"/>
      <c r="C59" s="264" t="s">
        <v>36</v>
      </c>
      <c r="D59" s="264" t="s">
        <v>312</v>
      </c>
      <c r="E59" s="264" t="s">
        <v>313</v>
      </c>
    </row>
    <row r="60" spans="1:6" ht="15.75">
      <c r="A60" s="93" t="s">
        <v>40</v>
      </c>
      <c r="B60" s="149" t="s">
        <v>0</v>
      </c>
      <c r="C60" s="149">
        <f>+'Yield CapRate'!C23</f>
        <v>0.56999999999999995</v>
      </c>
      <c r="D60" s="269">
        <f>+F32</f>
        <v>3.4055081658323956</v>
      </c>
      <c r="E60" s="270">
        <f>+C60*D60</f>
        <v>1.9411396545244652</v>
      </c>
      <c r="F60" s="150" t="s">
        <v>0</v>
      </c>
    </row>
    <row r="61" spans="1:6" ht="15.75">
      <c r="A61" s="266" t="s">
        <v>42</v>
      </c>
      <c r="B61" s="267" t="str">
        <f>'S&amp;D'!I38</f>
        <v xml:space="preserve"> </v>
      </c>
      <c r="C61" s="267">
        <f>+'Yield CapRate'!C25</f>
        <v>0.43</v>
      </c>
      <c r="D61" s="268">
        <f>+F53</f>
        <v>0.92360597573672598</v>
      </c>
      <c r="E61" s="268">
        <f>+C61*D61</f>
        <v>0.39715056956679218</v>
      </c>
      <c r="F61" s="150" t="s">
        <v>0</v>
      </c>
    </row>
    <row r="62" spans="1:6">
      <c r="D62" s="271" t="s">
        <v>314</v>
      </c>
      <c r="E62" s="272">
        <f>+E60+E61</f>
        <v>2.3382902240912573</v>
      </c>
    </row>
    <row r="65" spans="1:1" ht="18">
      <c r="A65" s="30" t="s">
        <v>478</v>
      </c>
    </row>
    <row r="66" spans="1:1" ht="19.5" customHeight="1">
      <c r="A66" s="30" t="s">
        <v>440</v>
      </c>
    </row>
  </sheetData>
  <pageMargins left="0.25" right="0.25" top="0.75" bottom="0.75" header="0.3" footer="0.3"/>
  <pageSetup scale="48" orientation="landscape" r:id="rId1"/>
  <rowBreaks count="1" manualBreakCount="1">
    <brk id="36"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8"/>
  <sheetViews>
    <sheetView view="pageBreakPreview" zoomScale="70" zoomScaleNormal="80" zoomScaleSheetLayoutView="70" workbookViewId="0">
      <selection activeCell="L36" sqref="L36"/>
    </sheetView>
  </sheetViews>
  <sheetFormatPr defaultRowHeight="15"/>
  <cols>
    <col min="1" max="1" width="41" customWidth="1"/>
    <col min="2" max="2" width="10.85546875" bestFit="1" customWidth="1"/>
    <col min="3" max="3" width="10.7109375" customWidth="1"/>
    <col min="4" max="4" width="28.570312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3" t="s">
        <v>1</v>
      </c>
      <c r="B1" s="12"/>
      <c r="C1" s="12"/>
      <c r="D1" s="12"/>
      <c r="E1" s="12"/>
      <c r="F1" s="12"/>
      <c r="G1" s="12"/>
      <c r="H1" s="12"/>
      <c r="I1" s="12"/>
      <c r="J1" s="12"/>
      <c r="K1" s="12"/>
      <c r="L1" s="12"/>
    </row>
    <row r="2" spans="1:12" ht="15.75">
      <c r="A2" s="24" t="s">
        <v>9</v>
      </c>
      <c r="B2" s="12"/>
      <c r="C2" s="12"/>
      <c r="D2" s="12"/>
      <c r="E2" s="12"/>
      <c r="F2" s="12"/>
      <c r="G2" s="12"/>
      <c r="H2" s="12"/>
      <c r="I2" s="12"/>
      <c r="J2" s="12"/>
      <c r="K2" s="12"/>
      <c r="L2" s="12"/>
    </row>
    <row r="3" spans="1:12">
      <c r="A3" s="25" t="s">
        <v>63</v>
      </c>
      <c r="B3" s="12"/>
      <c r="C3" s="12"/>
      <c r="D3" s="12"/>
      <c r="E3" s="12"/>
      <c r="F3" s="12"/>
      <c r="G3" s="12"/>
      <c r="H3" s="12"/>
      <c r="I3" s="12"/>
      <c r="J3" s="12"/>
      <c r="K3" s="12"/>
      <c r="L3" s="12"/>
    </row>
    <row r="4" spans="1:12">
      <c r="A4" s="25"/>
      <c r="B4" s="12"/>
      <c r="C4" s="12"/>
      <c r="D4" s="12"/>
      <c r="E4" s="12"/>
      <c r="F4" s="12"/>
      <c r="G4" s="12"/>
      <c r="H4" s="12"/>
      <c r="I4" s="12"/>
      <c r="J4" s="12"/>
      <c r="K4" s="12"/>
      <c r="L4" s="12"/>
    </row>
    <row r="5" spans="1:12">
      <c r="A5" s="25"/>
      <c r="B5" s="12"/>
      <c r="C5" s="12"/>
      <c r="D5" s="12"/>
      <c r="E5" s="12"/>
      <c r="F5" s="12"/>
      <c r="G5" s="12"/>
      <c r="H5" s="12"/>
      <c r="I5" s="12"/>
      <c r="J5" s="12"/>
      <c r="K5" s="12"/>
      <c r="L5" s="12"/>
    </row>
    <row r="6" spans="1:12">
      <c r="A6" s="25"/>
      <c r="B6" s="12"/>
      <c r="C6" s="12"/>
      <c r="D6" s="12"/>
      <c r="E6" s="12"/>
      <c r="F6" s="12"/>
      <c r="G6" s="12"/>
      <c r="H6" s="12"/>
      <c r="I6" s="12"/>
      <c r="J6" s="12"/>
      <c r="K6" s="12"/>
      <c r="L6" s="12"/>
    </row>
    <row r="7" spans="1:12" ht="15.75" thickBot="1">
      <c r="A7" s="12"/>
      <c r="B7" s="12"/>
      <c r="C7" s="12"/>
      <c r="D7" s="12"/>
      <c r="E7" s="12"/>
      <c r="F7" s="28"/>
      <c r="G7" s="28"/>
      <c r="H7" s="29" t="s">
        <v>0</v>
      </c>
      <c r="I7" s="12"/>
      <c r="J7" s="12"/>
      <c r="K7" s="12"/>
      <c r="L7" s="12"/>
    </row>
    <row r="8" spans="1:12" ht="21" thickBot="1">
      <c r="A8" s="285" t="str">
        <f>+'S&amp;D'!A12</f>
        <v>Liquid Transportation Pipeline Carriers</v>
      </c>
      <c r="B8" s="286"/>
      <c r="C8" s="211"/>
      <c r="D8" s="12"/>
      <c r="E8" s="12"/>
      <c r="F8" s="12"/>
      <c r="G8" s="31" t="s">
        <v>79</v>
      </c>
      <c r="H8" s="12"/>
      <c r="I8" s="12"/>
      <c r="J8" s="12"/>
      <c r="K8" s="12"/>
      <c r="L8" s="12"/>
    </row>
    <row r="9" spans="1:12" ht="18">
      <c r="A9" s="30"/>
      <c r="B9" s="12"/>
      <c r="C9" s="12"/>
      <c r="D9" s="12"/>
      <c r="E9" s="12"/>
      <c r="F9" s="12"/>
      <c r="G9" s="93" t="s">
        <v>80</v>
      </c>
      <c r="H9" s="12"/>
      <c r="I9" s="12"/>
      <c r="J9" s="12"/>
      <c r="K9" s="12"/>
      <c r="L9" s="12"/>
    </row>
    <row r="10" spans="1:12" ht="18" customHeight="1" thickBot="1">
      <c r="A10" s="40" t="s">
        <v>0</v>
      </c>
      <c r="B10" s="40" t="s">
        <v>0</v>
      </c>
      <c r="C10" s="40" t="s">
        <v>0</v>
      </c>
      <c r="D10" s="12"/>
      <c r="E10" s="12"/>
      <c r="F10" s="33" t="s">
        <v>0</v>
      </c>
      <c r="G10" s="36" t="s">
        <v>77</v>
      </c>
      <c r="H10" s="33" t="s">
        <v>0</v>
      </c>
      <c r="I10" s="40" t="s">
        <v>0</v>
      </c>
      <c r="J10" s="12"/>
      <c r="K10" s="12"/>
      <c r="L10" s="12"/>
    </row>
    <row r="11" spans="1:12" ht="18" customHeight="1">
      <c r="A11" s="40"/>
      <c r="B11" s="40"/>
      <c r="C11" s="40"/>
      <c r="D11" s="12"/>
      <c r="E11" s="12"/>
      <c r="J11" s="12"/>
      <c r="K11" s="12"/>
      <c r="L11" s="12"/>
    </row>
    <row r="12" spans="1:12" ht="18" customHeight="1">
      <c r="A12" s="40"/>
      <c r="B12" s="40"/>
      <c r="C12" s="40"/>
      <c r="D12" s="12" t="s">
        <v>0</v>
      </c>
      <c r="E12" s="12" t="s">
        <v>0</v>
      </c>
      <c r="G12" s="13" t="s">
        <v>0</v>
      </c>
      <c r="J12" s="12"/>
      <c r="K12" s="12"/>
      <c r="L12" s="12" t="s">
        <v>0</v>
      </c>
    </row>
    <row r="13" spans="1:12" ht="15.75" thickBot="1">
      <c r="A13" s="33"/>
      <c r="B13" s="33"/>
      <c r="C13" s="33"/>
      <c r="D13" s="33"/>
      <c r="E13" s="36"/>
      <c r="F13" s="33"/>
      <c r="G13" s="33"/>
      <c r="H13" s="33"/>
      <c r="I13" s="33"/>
      <c r="J13" s="28"/>
      <c r="K13" s="28"/>
      <c r="L13" s="28"/>
    </row>
    <row r="14" spans="1:12" ht="15" customHeight="1" thickBot="1">
      <c r="A14" s="33" t="s">
        <v>24</v>
      </c>
      <c r="B14" s="33" t="s">
        <v>92</v>
      </c>
      <c r="C14" s="33" t="s">
        <v>93</v>
      </c>
      <c r="D14" s="41" t="s">
        <v>94</v>
      </c>
      <c r="E14" s="33" t="s">
        <v>95</v>
      </c>
      <c r="F14" s="33" t="s">
        <v>96</v>
      </c>
      <c r="G14" s="33" t="s">
        <v>97</v>
      </c>
      <c r="H14" s="33" t="s">
        <v>98</v>
      </c>
      <c r="I14" s="33" t="s">
        <v>99</v>
      </c>
      <c r="J14" s="33" t="s">
        <v>100</v>
      </c>
      <c r="K14" s="33" t="s">
        <v>101</v>
      </c>
      <c r="L14" s="33" t="s">
        <v>109</v>
      </c>
    </row>
    <row r="15" spans="1:12">
      <c r="A15" s="34" t="s">
        <v>0</v>
      </c>
      <c r="B15" s="34" t="s">
        <v>3</v>
      </c>
      <c r="C15" s="34" t="s">
        <v>81</v>
      </c>
      <c r="D15" s="34" t="s">
        <v>84</v>
      </c>
      <c r="E15" s="34" t="s">
        <v>84</v>
      </c>
      <c r="F15" s="34" t="s">
        <v>85</v>
      </c>
      <c r="G15" s="34" t="s">
        <v>88</v>
      </c>
      <c r="H15" s="34" t="s">
        <v>90</v>
      </c>
      <c r="I15" s="34" t="s">
        <v>112</v>
      </c>
      <c r="J15" s="34" t="s">
        <v>112</v>
      </c>
      <c r="K15" s="34" t="s">
        <v>105</v>
      </c>
      <c r="L15" s="34" t="s">
        <v>107</v>
      </c>
    </row>
    <row r="16" spans="1:12" ht="15.75" thickBot="1">
      <c r="A16" s="36" t="s">
        <v>2</v>
      </c>
      <c r="B16" s="36" t="s">
        <v>4</v>
      </c>
      <c r="C16" s="36" t="s">
        <v>82</v>
      </c>
      <c r="D16" s="36" t="s">
        <v>87</v>
      </c>
      <c r="E16" s="36" t="s">
        <v>86</v>
      </c>
      <c r="F16" s="36" t="s">
        <v>19</v>
      </c>
      <c r="G16" s="36" t="s">
        <v>89</v>
      </c>
      <c r="H16" s="36" t="s">
        <v>91</v>
      </c>
      <c r="I16" s="36" t="s">
        <v>0</v>
      </c>
      <c r="J16" s="36" t="s">
        <v>0</v>
      </c>
      <c r="K16" s="36" t="s">
        <v>106</v>
      </c>
      <c r="L16" s="36" t="s">
        <v>88</v>
      </c>
    </row>
    <row r="17" spans="1:12">
      <c r="A17" s="42" t="s">
        <v>7</v>
      </c>
      <c r="B17" s="42" t="s">
        <v>7</v>
      </c>
      <c r="C17" s="42" t="s">
        <v>83</v>
      </c>
      <c r="D17" s="42" t="s">
        <v>251</v>
      </c>
      <c r="E17" s="42" t="s">
        <v>251</v>
      </c>
      <c r="F17" s="42" t="s">
        <v>110</v>
      </c>
      <c r="G17" s="42" t="s">
        <v>250</v>
      </c>
      <c r="H17" s="42" t="s">
        <v>102</v>
      </c>
      <c r="I17" s="42" t="s">
        <v>103</v>
      </c>
      <c r="J17" s="42" t="s">
        <v>104</v>
      </c>
      <c r="K17" s="42" t="s">
        <v>111</v>
      </c>
      <c r="L17" s="42" t="s">
        <v>108</v>
      </c>
    </row>
    <row r="18" spans="1:12">
      <c r="A18" s="34"/>
      <c r="B18" s="34"/>
      <c r="C18" s="34"/>
      <c r="D18" s="34"/>
      <c r="E18" s="34"/>
      <c r="F18" s="34"/>
      <c r="G18" s="34"/>
      <c r="H18" s="34"/>
      <c r="I18" s="34"/>
      <c r="J18" s="34"/>
      <c r="K18" s="34"/>
      <c r="L18" s="34"/>
    </row>
    <row r="19" spans="1:12">
      <c r="A19" s="12"/>
      <c r="B19" s="12"/>
      <c r="C19" s="12"/>
      <c r="D19" s="12"/>
      <c r="E19" s="12"/>
      <c r="F19" s="12"/>
      <c r="G19" s="12"/>
      <c r="H19" s="12"/>
      <c r="I19" s="12"/>
      <c r="J19" s="12"/>
      <c r="K19" s="12"/>
      <c r="L19" s="12"/>
    </row>
    <row r="20" spans="1:12" ht="22.5" customHeight="1">
      <c r="A20" s="64" t="str">
        <f>+'S&amp;D'!A22</f>
        <v>DCP Midstream LP</v>
      </c>
      <c r="B20" s="93" t="str">
        <f>+'S&amp;D'!B22</f>
        <v>DCP</v>
      </c>
      <c r="C20" s="67">
        <f>+'Growth &amp; Inflation Rates'!D93</f>
        <v>2.366E-2</v>
      </c>
      <c r="D20" s="326">
        <v>13781000000</v>
      </c>
      <c r="E20" s="145">
        <v>13418000000</v>
      </c>
      <c r="F20" s="145">
        <f>(D20+E20)/2</f>
        <v>13599500000</v>
      </c>
      <c r="G20" s="145">
        <v>360000000</v>
      </c>
      <c r="H20" s="18">
        <f>+F20/G20</f>
        <v>37.776388888888889</v>
      </c>
      <c r="I20" s="44">
        <f>+C20*H20</f>
        <v>0.89378936111111107</v>
      </c>
      <c r="J20" s="45">
        <f>1/(1+C20)^H20</f>
        <v>0.41338343272906231</v>
      </c>
      <c r="K20" s="146">
        <f>(G20*I20)/(1-J20)</f>
        <v>548508494.22291946</v>
      </c>
      <c r="L20" s="147">
        <f>+K20/G20</f>
        <v>1.5236347061747764</v>
      </c>
    </row>
    <row r="21" spans="1:12" ht="22.5" customHeight="1">
      <c r="A21" s="64" t="str">
        <f>+'S&amp;D'!A23</f>
        <v>Energy Transfer LP</v>
      </c>
      <c r="B21" s="93" t="str">
        <f>+'S&amp;D'!B23</f>
        <v>ET</v>
      </c>
      <c r="C21" s="67">
        <f>+'Growth &amp; Inflation Rates'!D93</f>
        <v>2.366E-2</v>
      </c>
      <c r="D21" s="326">
        <v>105996000000</v>
      </c>
      <c r="E21" s="145">
        <v>103991000000</v>
      </c>
      <c r="F21" s="145">
        <f t="shared" ref="F21:F25" si="0">(D21+E21)/2</f>
        <v>104993500000</v>
      </c>
      <c r="G21" s="145">
        <v>4164000000</v>
      </c>
      <c r="H21" s="18">
        <f t="shared" ref="H21:H25" si="1">+F21/G21</f>
        <v>25.214577329490876</v>
      </c>
      <c r="I21" s="44">
        <f t="shared" ref="I21:I25" si="2">+C21*H21</f>
        <v>0.59657689961575411</v>
      </c>
      <c r="J21" s="45">
        <f t="shared" ref="J21:J25" si="3">1/(1+C21)^H21</f>
        <v>0.55453310221847885</v>
      </c>
      <c r="K21" s="146">
        <f t="shared" ref="K21:K25" si="4">(G21*I21)/(1-J21)</f>
        <v>5576500122.3914671</v>
      </c>
      <c r="L21" s="147">
        <f t="shared" ref="L21:L25" si="5">+K21/G21</f>
        <v>1.3392171283360872</v>
      </c>
    </row>
    <row r="22" spans="1:12" ht="22.5" customHeight="1">
      <c r="A22" s="64" t="str">
        <f>+'S&amp;D'!A24</f>
        <v>Enterprise Products Partnership LP</v>
      </c>
      <c r="B22" s="93" t="str">
        <f>+'S&amp;D'!B24</f>
        <v>EPD</v>
      </c>
      <c r="C22" s="67">
        <f>+'Growth &amp; Inflation Rates'!D93</f>
        <v>2.366E-2</v>
      </c>
      <c r="D22" s="326">
        <v>63122000000</v>
      </c>
      <c r="E22" s="145">
        <v>59085000000</v>
      </c>
      <c r="F22" s="145">
        <f t="shared" si="0"/>
        <v>61103500000</v>
      </c>
      <c r="G22" s="145">
        <v>2158000000</v>
      </c>
      <c r="H22" s="18">
        <f t="shared" si="1"/>
        <v>28.314874884151994</v>
      </c>
      <c r="I22" s="44">
        <f t="shared" si="2"/>
        <v>0.66992993975903614</v>
      </c>
      <c r="J22" s="45">
        <f t="shared" si="3"/>
        <v>0.51575290244540795</v>
      </c>
      <c r="K22" s="146">
        <f t="shared" si="4"/>
        <v>2985477491.3483434</v>
      </c>
      <c r="L22" s="147">
        <f t="shared" si="5"/>
        <v>1.3834464742114658</v>
      </c>
    </row>
    <row r="23" spans="1:12" ht="22.5" customHeight="1">
      <c r="A23" s="64" t="str">
        <f>+'S&amp;D'!A25</f>
        <v>Hess Midstream LP</v>
      </c>
      <c r="B23" s="93" t="str">
        <f>+'S&amp;D'!B25</f>
        <v>HESM</v>
      </c>
      <c r="C23" s="67">
        <f>+'Growth &amp; Inflation Rates'!D93</f>
        <v>2.366E-2</v>
      </c>
      <c r="D23" s="326">
        <v>4570500000</v>
      </c>
      <c r="E23" s="145">
        <v>4341400000</v>
      </c>
      <c r="F23" s="145">
        <f t="shared" si="0"/>
        <v>4455950000</v>
      </c>
      <c r="G23" s="145">
        <v>181300000</v>
      </c>
      <c r="H23" s="18">
        <f t="shared" si="1"/>
        <v>24.577771649200219</v>
      </c>
      <c r="I23" s="44">
        <f t="shared" si="2"/>
        <v>0.58151007722007719</v>
      </c>
      <c r="J23" s="45">
        <f t="shared" si="3"/>
        <v>0.56285263639375593</v>
      </c>
      <c r="K23" s="146">
        <f t="shared" si="4"/>
        <v>241172167.04745582</v>
      </c>
      <c r="L23" s="147">
        <f t="shared" si="5"/>
        <v>1.3302380973384216</v>
      </c>
    </row>
    <row r="24" spans="1:12" ht="22.5" customHeight="1">
      <c r="A24" s="64" t="str">
        <f>+'S&amp;D'!A26</f>
        <v>Holly Energy Partners LP</v>
      </c>
      <c r="B24" s="93" t="str">
        <f>+'S&amp;D'!B26</f>
        <v>HEP</v>
      </c>
      <c r="C24" s="67">
        <f>+'Growth &amp; Inflation Rates'!D93</f>
        <v>2.366E-2</v>
      </c>
      <c r="D24" s="326">
        <v>2184809000</v>
      </c>
      <c r="E24" s="145">
        <v>2050065000</v>
      </c>
      <c r="F24" s="145">
        <f t="shared" si="0"/>
        <v>2117437000</v>
      </c>
      <c r="G24" s="145">
        <v>99092000</v>
      </c>
      <c r="H24" s="18">
        <f t="shared" si="1"/>
        <v>21.368395026843743</v>
      </c>
      <c r="I24" s="44">
        <f t="shared" si="2"/>
        <v>0.505576226335123</v>
      </c>
      <c r="J24" s="45">
        <f t="shared" si="3"/>
        <v>0.60671995327092176</v>
      </c>
      <c r="K24" s="146">
        <f t="shared" si="4"/>
        <v>127386476.47311682</v>
      </c>
      <c r="L24" s="147">
        <f t="shared" si="5"/>
        <v>1.2855374447293102</v>
      </c>
    </row>
    <row r="25" spans="1:12" ht="22.5" customHeight="1">
      <c r="A25" s="64" t="str">
        <f>+'S&amp;D'!A27</f>
        <v>Magellan Midstream Partners LP</v>
      </c>
      <c r="B25" s="93" t="str">
        <f>+'S&amp;D'!B27</f>
        <v>MMP</v>
      </c>
      <c r="C25" s="67">
        <f>+'Growth &amp; Inflation Rates'!D93</f>
        <v>2.366E-2</v>
      </c>
      <c r="D25" s="326">
        <v>8045900000</v>
      </c>
      <c r="E25" s="145">
        <v>8163900000</v>
      </c>
      <c r="F25" s="145">
        <f t="shared" si="0"/>
        <v>8104900000</v>
      </c>
      <c r="G25" s="145">
        <v>243100000</v>
      </c>
      <c r="H25" s="18">
        <f t="shared" si="1"/>
        <v>33.339777869189632</v>
      </c>
      <c r="I25" s="44">
        <f t="shared" si="2"/>
        <v>0.78881914438502676</v>
      </c>
      <c r="J25" s="45">
        <f t="shared" si="3"/>
        <v>0.45857471606281319</v>
      </c>
      <c r="K25" s="146">
        <f t="shared" si="4"/>
        <v>354179865.05086666</v>
      </c>
      <c r="L25" s="147">
        <f t="shared" si="5"/>
        <v>1.4569307488723433</v>
      </c>
    </row>
    <row r="26" spans="1:12" ht="22.5" customHeight="1">
      <c r="A26" s="64" t="str">
        <f>+'S&amp;D'!A28</f>
        <v>MPLX, LP</v>
      </c>
      <c r="B26" s="93" t="str">
        <f>+'S&amp;D'!B28</f>
        <v>MPLX</v>
      </c>
      <c r="C26" s="67">
        <f>+'Growth &amp; Inflation Rates'!D93</f>
        <v>2.366E-2</v>
      </c>
      <c r="D26" s="326">
        <v>25911000000</v>
      </c>
      <c r="E26" s="145">
        <v>26546000000</v>
      </c>
      <c r="F26" s="145">
        <f t="shared" ref="F26:F29" si="6">(D26+E26)/2</f>
        <v>26228500000</v>
      </c>
      <c r="G26" s="145">
        <v>1230000000</v>
      </c>
      <c r="H26" s="18">
        <f>+F26/G26</f>
        <v>21.323983739837399</v>
      </c>
      <c r="I26" s="44">
        <f>+C26*H26</f>
        <v>0.50452545528455284</v>
      </c>
      <c r="J26" s="45">
        <f>1/(1+C26)^H26</f>
        <v>0.60735037931922242</v>
      </c>
      <c r="K26" s="146">
        <f>(G26*I26)/(1-J26)</f>
        <v>1580458193.0425897</v>
      </c>
      <c r="L26" s="147">
        <f>+K26/G26</f>
        <v>1.2849253601972275</v>
      </c>
    </row>
    <row r="27" spans="1:12" ht="22.5" customHeight="1">
      <c r="A27" s="64" t="str">
        <f>+'S&amp;D'!A29</f>
        <v>NuStar Energy LP</v>
      </c>
      <c r="B27" s="93" t="str">
        <f>+'S&amp;D'!B29</f>
        <v>NS</v>
      </c>
      <c r="C27" s="67">
        <f>+'Growth &amp; Inflation Rates'!D93</f>
        <v>2.366E-2</v>
      </c>
      <c r="D27" s="326">
        <v>5733685000</v>
      </c>
      <c r="E27" s="145">
        <v>5728848000</v>
      </c>
      <c r="F27" s="145">
        <f t="shared" si="6"/>
        <v>5731266500</v>
      </c>
      <c r="G27" s="145">
        <v>251878000</v>
      </c>
      <c r="H27" s="18">
        <f>+F27/G27</f>
        <v>22.754136923431187</v>
      </c>
      <c r="I27" s="44">
        <f>+C27*H27</f>
        <v>0.53836287960838192</v>
      </c>
      <c r="J27" s="45">
        <f>1/(1+C27)^H27</f>
        <v>0.58737445175952063</v>
      </c>
      <c r="K27" s="146">
        <f>(G27*I27)/(1-J27)</f>
        <v>328631530.37477678</v>
      </c>
      <c r="L27" s="147">
        <f>+K27/G27</f>
        <v>1.3047250270955653</v>
      </c>
    </row>
    <row r="28" spans="1:12" ht="22.5" customHeight="1">
      <c r="A28" s="64" t="str">
        <f>+'S&amp;D'!A30</f>
        <v>Plains All American Pipeline LP</v>
      </c>
      <c r="B28" s="93" t="str">
        <f>+'S&amp;D'!B30</f>
        <v>PAA</v>
      </c>
      <c r="C28" s="67">
        <f>+'Growth &amp; Inflation Rates'!D93</f>
        <v>2.366E-2</v>
      </c>
      <c r="D28" s="326">
        <v>20020000000</v>
      </c>
      <c r="E28" s="145">
        <v>19257000000</v>
      </c>
      <c r="F28" s="145">
        <f t="shared" si="6"/>
        <v>19638500000</v>
      </c>
      <c r="G28" s="145">
        <v>965000000</v>
      </c>
      <c r="H28" s="18">
        <f t="shared" ref="H28:H29" si="7">+F28/G28</f>
        <v>20.350777202072539</v>
      </c>
      <c r="I28" s="44">
        <f t="shared" ref="I28:I29" si="8">+C28*H28</f>
        <v>0.4814993886010363</v>
      </c>
      <c r="J28" s="45">
        <f t="shared" ref="J28:J29" si="9">1/(1+C28)^H28</f>
        <v>0.62133087238171847</v>
      </c>
      <c r="K28" s="146">
        <f t="shared" ref="K28:K29" si="10">(G28*I28)/(1-J28)</f>
        <v>1227052527.1560788</v>
      </c>
      <c r="L28" s="147">
        <f t="shared" ref="L28:L29" si="11">+K28/G28</f>
        <v>1.2715570229596671</v>
      </c>
    </row>
    <row r="29" spans="1:12" ht="22.5" customHeight="1">
      <c r="A29" s="64" t="str">
        <f>+'S&amp;D'!A31</f>
        <v>Western Midstream Partners LP</v>
      </c>
      <c r="B29" s="93" t="str">
        <f>+'S&amp;D'!B31</f>
        <v>WES</v>
      </c>
      <c r="C29" s="67">
        <f>+'Growth &amp; Inflation Rates'!D93</f>
        <v>2.366E-2</v>
      </c>
      <c r="D29" s="326">
        <v>13365593000</v>
      </c>
      <c r="E29" s="145">
        <v>12846078000</v>
      </c>
      <c r="F29" s="145">
        <f t="shared" si="6"/>
        <v>13105835500</v>
      </c>
      <c r="G29" s="145">
        <v>582365000</v>
      </c>
      <c r="H29" s="18">
        <f t="shared" si="7"/>
        <v>22.504504048148497</v>
      </c>
      <c r="I29" s="44">
        <f t="shared" si="8"/>
        <v>0.53245656577919342</v>
      </c>
      <c r="J29" s="45">
        <f t="shared" si="9"/>
        <v>0.590813292230017</v>
      </c>
      <c r="K29" s="146">
        <f t="shared" si="10"/>
        <v>757805818.32660174</v>
      </c>
      <c r="L29" s="147">
        <f t="shared" si="11"/>
        <v>1.3012557731433065</v>
      </c>
    </row>
    <row r="30" spans="1:12" ht="22.5" customHeight="1" thickBot="1">
      <c r="A30" s="72"/>
      <c r="B30" s="72"/>
      <c r="C30" s="46"/>
      <c r="D30" s="46"/>
      <c r="E30" s="46"/>
      <c r="F30" s="46"/>
      <c r="G30" s="46" t="s">
        <v>0</v>
      </c>
      <c r="H30" s="46"/>
      <c r="I30" s="46" t="s">
        <v>45</v>
      </c>
      <c r="J30" s="46"/>
      <c r="K30" s="46"/>
      <c r="L30" s="46"/>
    </row>
    <row r="31" spans="1:12" ht="22.5" customHeight="1" thickTop="1">
      <c r="A31" s="12"/>
      <c r="B31" s="12"/>
      <c r="C31" s="47" t="s">
        <v>0</v>
      </c>
      <c r="D31" s="47" t="s">
        <v>0</v>
      </c>
      <c r="E31" s="34" t="s">
        <v>0</v>
      </c>
      <c r="F31" s="34"/>
      <c r="G31" s="47" t="s">
        <v>0</v>
      </c>
      <c r="H31" s="34"/>
      <c r="I31" s="47" t="s">
        <v>0</v>
      </c>
      <c r="J31" s="47" t="s">
        <v>0</v>
      </c>
      <c r="K31" s="14" t="s">
        <v>46</v>
      </c>
      <c r="L31" s="52">
        <v>1.4641999999999999</v>
      </c>
    </row>
    <row r="32" spans="1:12" ht="22.5" customHeight="1">
      <c r="B32" s="12"/>
      <c r="C32" s="47"/>
      <c r="D32" s="47"/>
      <c r="E32" s="34"/>
      <c r="F32" s="34"/>
      <c r="G32" s="47"/>
      <c r="H32" s="34"/>
      <c r="I32" s="47"/>
      <c r="J32" s="47"/>
      <c r="K32" s="383" t="s">
        <v>47</v>
      </c>
      <c r="L32" s="384">
        <v>1.2757000000000001</v>
      </c>
    </row>
    <row r="33" spans="1:12" ht="22.5" customHeight="1">
      <c r="B33" s="12"/>
      <c r="C33" s="12"/>
      <c r="D33" s="12"/>
      <c r="E33" s="12"/>
      <c r="F33" s="12"/>
      <c r="G33" s="12"/>
      <c r="H33" s="12"/>
      <c r="I33" s="12"/>
      <c r="J33" s="12"/>
      <c r="K33" s="14" t="s">
        <v>18</v>
      </c>
      <c r="L33" s="54">
        <f>MEDIAN(L20:L29)</f>
        <v>1.3174815622169933</v>
      </c>
    </row>
    <row r="34" spans="1:12" ht="22.5" customHeight="1">
      <c r="A34" s="12" t="s">
        <v>0</v>
      </c>
      <c r="B34" s="12"/>
      <c r="C34" s="12"/>
      <c r="D34" s="12"/>
      <c r="E34" s="12"/>
      <c r="F34" s="12"/>
      <c r="G34" s="12"/>
      <c r="H34" s="12"/>
      <c r="I34" s="12"/>
      <c r="J34" s="12"/>
      <c r="K34" s="14" t="s">
        <v>473</v>
      </c>
      <c r="L34" s="54">
        <f>AVERAGE(L20:L29)</f>
        <v>1.348146778305817</v>
      </c>
    </row>
    <row r="35" spans="1:12" ht="22.5" customHeight="1" thickBot="1">
      <c r="A35" s="12"/>
      <c r="B35" s="12"/>
      <c r="C35" s="12"/>
      <c r="D35" s="12"/>
      <c r="E35" s="12"/>
      <c r="F35" s="12"/>
      <c r="G35" s="12" t="s">
        <v>0</v>
      </c>
      <c r="H35" s="12"/>
      <c r="I35" s="12"/>
      <c r="J35" s="12"/>
      <c r="K35" s="12"/>
      <c r="L35" s="12"/>
    </row>
    <row r="36" spans="1:12" ht="22.5" customHeight="1" thickBot="1">
      <c r="A36" s="12"/>
      <c r="B36" s="12"/>
      <c r="C36" s="12"/>
      <c r="D36" s="12"/>
      <c r="E36" s="12"/>
      <c r="F36" s="12"/>
      <c r="G36" s="12"/>
      <c r="H36" s="12"/>
      <c r="I36" s="12"/>
      <c r="J36" s="12"/>
      <c r="K36" s="217" t="s">
        <v>214</v>
      </c>
      <c r="L36" s="470">
        <v>1.3481000000000001</v>
      </c>
    </row>
    <row r="37" spans="1:12">
      <c r="A37" s="12"/>
      <c r="B37" s="12"/>
      <c r="C37" s="12"/>
      <c r="D37" s="12"/>
      <c r="E37" s="12"/>
      <c r="F37" s="12"/>
      <c r="G37" s="12"/>
      <c r="H37" s="12"/>
      <c r="I37" s="12"/>
      <c r="J37" s="12"/>
      <c r="K37" s="12"/>
      <c r="L37" s="12"/>
    </row>
    <row r="38" spans="1:12">
      <c r="A38" s="12"/>
      <c r="B38" s="12"/>
      <c r="C38" s="12"/>
      <c r="D38" s="12"/>
      <c r="E38" s="12"/>
      <c r="F38" s="12"/>
      <c r="G38" s="12"/>
      <c r="H38" s="12"/>
      <c r="I38" s="12"/>
      <c r="J38" s="12"/>
      <c r="K38" s="12"/>
      <c r="L38" s="12"/>
    </row>
    <row r="39" spans="1:12">
      <c r="A39" s="12" t="s">
        <v>73</v>
      </c>
      <c r="B39" s="12"/>
      <c r="C39" s="12"/>
      <c r="D39" s="12"/>
      <c r="E39" s="12"/>
      <c r="F39" s="12"/>
      <c r="G39" s="12"/>
      <c r="H39" s="12"/>
      <c r="I39" s="12"/>
      <c r="J39" s="12"/>
      <c r="K39" s="12"/>
      <c r="L39" s="12"/>
    </row>
    <row r="40" spans="1:12">
      <c r="A40" s="12" t="s">
        <v>276</v>
      </c>
    </row>
    <row r="41" spans="1:12">
      <c r="A41" s="12"/>
    </row>
    <row r="42" spans="1:12">
      <c r="A42" s="12" t="s">
        <v>439</v>
      </c>
    </row>
    <row r="43" spans="1:12" ht="18">
      <c r="A43" s="255"/>
      <c r="B43" s="255"/>
      <c r="C43" s="255"/>
      <c r="D43" s="255"/>
      <c r="E43" s="255"/>
      <c r="F43" s="255"/>
      <c r="G43" s="255"/>
      <c r="H43" s="255"/>
      <c r="I43" s="255"/>
      <c r="J43" s="255"/>
      <c r="K43" s="255"/>
      <c r="L43" s="255"/>
    </row>
    <row r="44" spans="1:12" ht="20.25">
      <c r="A44" s="23" t="s">
        <v>1</v>
      </c>
      <c r="B44" s="12"/>
      <c r="C44" s="12"/>
      <c r="D44" s="12"/>
      <c r="E44" s="12"/>
      <c r="F44" s="12"/>
      <c r="G44" s="12"/>
      <c r="H44" s="12"/>
      <c r="I44" s="12"/>
      <c r="J44" s="12"/>
      <c r="K44" s="255"/>
      <c r="L44" s="255"/>
    </row>
    <row r="45" spans="1:12" ht="18">
      <c r="A45" s="24" t="s">
        <v>9</v>
      </c>
      <c r="B45" s="12"/>
      <c r="C45" s="12"/>
      <c r="D45" s="12"/>
      <c r="E45" s="12"/>
      <c r="F45" s="12"/>
      <c r="G45" s="12"/>
      <c r="H45" s="12"/>
      <c r="I45" s="12"/>
      <c r="J45" s="12"/>
      <c r="K45" s="255"/>
      <c r="L45" s="255"/>
    </row>
    <row r="46" spans="1:12" ht="18">
      <c r="A46" s="25" t="s">
        <v>63</v>
      </c>
      <c r="B46" s="12"/>
      <c r="C46" s="12"/>
      <c r="D46" s="12"/>
      <c r="E46" s="12"/>
      <c r="F46" s="12"/>
      <c r="G46" s="12"/>
      <c r="H46" s="12"/>
      <c r="I46" s="12"/>
      <c r="J46" s="12"/>
      <c r="K46" s="255"/>
      <c r="L46" s="255"/>
    </row>
    <row r="47" spans="1:12" ht="18">
      <c r="A47" s="25"/>
      <c r="B47" s="12"/>
      <c r="C47" s="12"/>
      <c r="D47" s="12"/>
      <c r="E47" s="12"/>
      <c r="F47" s="12"/>
      <c r="G47" s="12"/>
      <c r="H47" s="12"/>
      <c r="I47" s="12"/>
      <c r="J47" s="12"/>
      <c r="K47" s="255"/>
      <c r="L47" s="255"/>
    </row>
    <row r="48" spans="1:12" ht="18">
      <c r="A48" s="25"/>
      <c r="B48" s="12"/>
      <c r="C48" s="12"/>
      <c r="D48" s="12"/>
      <c r="E48" s="12"/>
      <c r="F48" s="12"/>
      <c r="G48" s="12"/>
      <c r="H48" s="12"/>
      <c r="I48" s="12"/>
      <c r="J48" s="12"/>
      <c r="K48" s="255"/>
      <c r="L48" s="255"/>
    </row>
    <row r="49" spans="1:12" ht="18">
      <c r="A49" s="25"/>
      <c r="B49" s="12"/>
      <c r="C49" s="12"/>
      <c r="D49" s="12"/>
      <c r="E49" s="12"/>
      <c r="F49" s="12"/>
      <c r="G49" s="12"/>
      <c r="H49" s="12"/>
      <c r="I49" s="12"/>
      <c r="J49" s="12"/>
      <c r="K49" s="255"/>
      <c r="L49" s="255"/>
    </row>
    <row r="50" spans="1:12" ht="18.75" thickBot="1">
      <c r="B50" s="12"/>
      <c r="C50" s="12"/>
      <c r="D50" s="12"/>
      <c r="E50" s="12"/>
      <c r="F50" s="28"/>
      <c r="G50" s="28"/>
      <c r="H50" s="29" t="s">
        <v>0</v>
      </c>
      <c r="I50" s="12"/>
      <c r="J50" s="12"/>
      <c r="K50" s="255"/>
      <c r="L50" s="255"/>
    </row>
    <row r="51" spans="1:12" ht="20.25">
      <c r="B51" s="12"/>
      <c r="C51" s="12"/>
      <c r="D51" s="12"/>
      <c r="E51" s="12"/>
      <c r="F51" s="12"/>
      <c r="G51" s="31" t="s">
        <v>302</v>
      </c>
      <c r="H51" s="12"/>
      <c r="I51" s="12"/>
      <c r="J51" s="12"/>
      <c r="K51" s="255"/>
      <c r="L51" s="255"/>
    </row>
    <row r="52" spans="1:12" ht="18.75" thickBot="1">
      <c r="B52" s="40" t="s">
        <v>0</v>
      </c>
      <c r="C52" s="40" t="s">
        <v>0</v>
      </c>
      <c r="D52" s="12"/>
      <c r="E52" s="12"/>
      <c r="F52" s="33" t="s">
        <v>0</v>
      </c>
      <c r="G52" s="36" t="s">
        <v>77</v>
      </c>
      <c r="H52" s="33" t="s">
        <v>0</v>
      </c>
      <c r="I52" s="40" t="s">
        <v>0</v>
      </c>
      <c r="J52" s="12"/>
      <c r="K52" s="255"/>
      <c r="L52" s="255"/>
    </row>
    <row r="53" spans="1:12" ht="18">
      <c r="A53" s="255"/>
      <c r="B53" s="255"/>
      <c r="C53" s="255"/>
      <c r="D53" s="255"/>
      <c r="E53" s="255"/>
      <c r="F53" s="255"/>
      <c r="G53" s="255"/>
      <c r="H53" s="255"/>
      <c r="I53" s="255"/>
      <c r="J53" s="255"/>
      <c r="K53" s="255"/>
      <c r="L53" s="255"/>
    </row>
    <row r="54" spans="1:12" ht="18">
      <c r="A54" s="255"/>
      <c r="B54" s="255"/>
      <c r="C54" s="255"/>
      <c r="D54" s="255"/>
      <c r="E54" s="255"/>
      <c r="F54" s="255"/>
      <c r="G54" s="255"/>
      <c r="H54" s="255"/>
      <c r="I54" s="255"/>
      <c r="J54" s="255"/>
      <c r="K54" s="255"/>
      <c r="L54" s="255"/>
    </row>
    <row r="55" spans="1:12" ht="18">
      <c r="A55" s="255"/>
      <c r="B55" s="255"/>
      <c r="C55" s="255"/>
      <c r="D55" s="255"/>
      <c r="E55" s="255"/>
      <c r="F55" s="255"/>
      <c r="G55" s="255"/>
      <c r="H55" s="255"/>
      <c r="I55" s="255"/>
      <c r="J55" s="255"/>
      <c r="K55" s="255"/>
      <c r="L55" s="255"/>
    </row>
    <row r="56" spans="1:12">
      <c r="A56" s="40"/>
      <c r="B56" s="40"/>
      <c r="C56" s="40"/>
      <c r="D56" s="12"/>
      <c r="E56" s="12"/>
      <c r="J56" s="12"/>
      <c r="K56" s="12"/>
      <c r="L56" s="12"/>
    </row>
    <row r="57" spans="1:12" ht="25.5">
      <c r="A57" s="249" t="s">
        <v>291</v>
      </c>
      <c r="B57" s="40"/>
      <c r="C57" s="251" t="s">
        <v>296</v>
      </c>
      <c r="D57" s="12"/>
      <c r="E57" s="12"/>
      <c r="J57" s="12"/>
      <c r="K57" s="12"/>
      <c r="L57" s="12"/>
    </row>
    <row r="58" spans="1:12" ht="25.5">
      <c r="A58" s="249" t="s">
        <v>295</v>
      </c>
      <c r="B58" s="40"/>
      <c r="C58" s="251" t="s">
        <v>301</v>
      </c>
      <c r="D58" s="12"/>
      <c r="E58" s="12"/>
      <c r="J58" s="12"/>
      <c r="K58" s="12"/>
      <c r="L58" s="12"/>
    </row>
    <row r="59" spans="1:12" ht="15.75">
      <c r="A59" s="250" t="s">
        <v>292</v>
      </c>
      <c r="B59" s="40"/>
      <c r="C59" s="40"/>
      <c r="D59" s="12"/>
      <c r="E59" s="12"/>
      <c r="J59" s="12"/>
      <c r="K59" s="12"/>
      <c r="L59" s="12"/>
    </row>
    <row r="60" spans="1:12" ht="15.75">
      <c r="A60" s="250" t="s">
        <v>293</v>
      </c>
      <c r="B60" s="40"/>
      <c r="C60" s="40"/>
      <c r="D60" s="12"/>
      <c r="E60" s="12"/>
      <c r="J60" s="12"/>
      <c r="K60" s="12"/>
      <c r="L60" s="12"/>
    </row>
    <row r="61" spans="1:12" ht="15.75">
      <c r="A61" s="250" t="s">
        <v>294</v>
      </c>
      <c r="B61" s="40"/>
      <c r="C61" s="40"/>
      <c r="D61" s="12"/>
      <c r="E61" s="12"/>
      <c r="J61" s="12"/>
      <c r="K61" s="12"/>
      <c r="L61" s="12"/>
    </row>
    <row r="67" spans="1:9" ht="25.5">
      <c r="A67" s="252" t="s">
        <v>300</v>
      </c>
      <c r="B67" s="110"/>
      <c r="C67" s="110"/>
      <c r="D67" s="110"/>
      <c r="E67" s="110"/>
      <c r="F67" s="110"/>
      <c r="G67" s="12"/>
      <c r="H67" s="12"/>
      <c r="I67" s="12"/>
    </row>
    <row r="68" spans="1:9" ht="15.75">
      <c r="A68" s="110"/>
      <c r="B68" s="110"/>
      <c r="C68" s="110"/>
      <c r="D68" s="110"/>
      <c r="E68" s="110"/>
      <c r="F68" s="110"/>
      <c r="G68" s="12"/>
      <c r="H68" s="12"/>
      <c r="I68" s="12"/>
    </row>
    <row r="69" spans="1:9" ht="16.5" thickBot="1">
      <c r="A69" s="253" t="s">
        <v>297</v>
      </c>
      <c r="B69" s="112"/>
      <c r="C69" s="112"/>
      <c r="D69" s="254" t="s">
        <v>299</v>
      </c>
      <c r="E69" s="112"/>
      <c r="F69" s="110"/>
      <c r="G69" s="12"/>
      <c r="H69" s="12"/>
      <c r="I69" s="12"/>
    </row>
    <row r="70" spans="1:9" ht="15.75">
      <c r="A70" s="110"/>
      <c r="B70" s="110"/>
      <c r="C70" s="110"/>
      <c r="D70" s="110" t="s">
        <v>298</v>
      </c>
      <c r="E70" s="110"/>
      <c r="F70" s="110"/>
      <c r="G70" s="12"/>
      <c r="H70" s="12"/>
      <c r="I70" s="12"/>
    </row>
    <row r="71" spans="1:9" ht="15.75">
      <c r="A71" s="110"/>
      <c r="B71" s="110"/>
      <c r="C71" s="110"/>
      <c r="D71" s="110"/>
      <c r="E71" s="110"/>
      <c r="F71" s="110"/>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t="s">
        <v>0</v>
      </c>
      <c r="B77" s="12"/>
      <c r="C77" s="12"/>
      <c r="D77" s="12"/>
      <c r="E77" s="12"/>
      <c r="F77" s="12"/>
      <c r="G77" s="12"/>
      <c r="H77" s="12"/>
      <c r="I77" s="12"/>
    </row>
    <row r="78" spans="1:9">
      <c r="A78" s="12"/>
      <c r="B78" s="12"/>
      <c r="C78" s="12"/>
      <c r="D78" s="12"/>
      <c r="E78" s="12"/>
      <c r="F78" s="12"/>
      <c r="G78" s="12"/>
      <c r="H78" s="12"/>
      <c r="I78" s="12"/>
    </row>
  </sheetData>
  <pageMargins left="0.25" right="0.25" top="0.75" bottom="0.75" header="0.3" footer="0.3"/>
  <pageSetup scale="51" orientation="landscape" r:id="rId1"/>
  <rowBreaks count="1" manualBreakCount="1">
    <brk id="42"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7"/>
  <sheetViews>
    <sheetView view="pageBreakPreview" zoomScale="60" zoomScaleNormal="80" workbookViewId="0">
      <selection activeCell="D32" sqref="D32"/>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c r="A5" s="25"/>
      <c r="B5" s="12"/>
      <c r="C5" s="12"/>
      <c r="D5" s="12"/>
      <c r="E5" s="12"/>
      <c r="F5" s="12"/>
      <c r="G5" s="12"/>
      <c r="H5" s="12"/>
      <c r="I5" s="12"/>
    </row>
    <row r="6" spans="1:9">
      <c r="A6" s="25"/>
      <c r="B6" s="12"/>
      <c r="C6" s="12"/>
      <c r="D6" s="12"/>
      <c r="E6" s="12"/>
      <c r="F6" s="12"/>
      <c r="G6" s="12"/>
      <c r="H6" s="12"/>
      <c r="I6" s="12"/>
    </row>
    <row r="7" spans="1:9" ht="15.75" thickBot="1">
      <c r="A7" s="12"/>
      <c r="B7" s="12"/>
      <c r="C7" s="12"/>
      <c r="H7" s="26"/>
      <c r="I7" s="12"/>
    </row>
    <row r="8" spans="1:9" ht="18.75" thickBot="1">
      <c r="A8" s="285" t="str">
        <f>+'S&amp;D'!A12</f>
        <v>Liquid Transportation Pipeline Carriers</v>
      </c>
      <c r="B8" s="211"/>
      <c r="C8" s="12"/>
      <c r="D8" s="28"/>
      <c r="E8" s="28"/>
      <c r="F8" s="28"/>
      <c r="H8" s="12"/>
      <c r="I8" s="12"/>
    </row>
    <row r="9" spans="1:9" ht="20.25">
      <c r="A9" s="30"/>
      <c r="B9" s="12"/>
      <c r="C9" s="12"/>
      <c r="D9" s="12"/>
      <c r="E9" s="31" t="s">
        <v>126</v>
      </c>
      <c r="F9" s="31"/>
      <c r="H9" s="12"/>
      <c r="I9" s="12"/>
    </row>
    <row r="10" spans="1:9" ht="18.75" thickBot="1">
      <c r="A10" s="30"/>
      <c r="B10" s="12"/>
      <c r="C10" s="12"/>
      <c r="D10" s="28"/>
      <c r="E10" s="36" t="s">
        <v>77</v>
      </c>
      <c r="F10" s="36"/>
      <c r="H10" s="12"/>
      <c r="I10" s="12"/>
    </row>
    <row r="11" spans="1:9" ht="18">
      <c r="A11" s="30"/>
      <c r="B11" s="12"/>
      <c r="I11" s="12"/>
    </row>
    <row r="12" spans="1:9" ht="15.75" thickBot="1">
      <c r="A12" s="33" t="s">
        <v>0</v>
      </c>
      <c r="B12" s="33" t="s">
        <v>0</v>
      </c>
      <c r="C12" s="33" t="s">
        <v>0</v>
      </c>
      <c r="D12" s="33" t="s">
        <v>0</v>
      </c>
      <c r="E12" s="33" t="s">
        <v>0</v>
      </c>
      <c r="F12" s="33"/>
      <c r="G12" s="33"/>
      <c r="H12" s="28"/>
      <c r="I12" s="28"/>
    </row>
    <row r="13" spans="1:9" ht="15.75">
      <c r="A13" s="93" t="s">
        <v>0</v>
      </c>
      <c r="B13" s="93" t="s">
        <v>3</v>
      </c>
      <c r="C13" s="93" t="s">
        <v>5</v>
      </c>
      <c r="D13" s="93" t="s">
        <v>21</v>
      </c>
      <c r="E13" s="195" t="s">
        <v>235</v>
      </c>
      <c r="F13" s="195" t="s">
        <v>349</v>
      </c>
      <c r="G13" s="93" t="s">
        <v>20</v>
      </c>
      <c r="H13" s="93" t="s">
        <v>150</v>
      </c>
      <c r="I13" s="93" t="s">
        <v>150</v>
      </c>
    </row>
    <row r="14" spans="1:9" ht="16.5" thickBot="1">
      <c r="A14" s="100" t="s">
        <v>2</v>
      </c>
      <c r="B14" s="100" t="s">
        <v>4</v>
      </c>
      <c r="C14" s="100" t="s">
        <v>6</v>
      </c>
      <c r="D14" s="100" t="s">
        <v>23</v>
      </c>
      <c r="E14" s="100" t="s">
        <v>350</v>
      </c>
      <c r="F14" s="100" t="s">
        <v>196</v>
      </c>
      <c r="G14" s="100" t="s">
        <v>22</v>
      </c>
      <c r="H14" s="100" t="s">
        <v>174</v>
      </c>
      <c r="I14" s="100" t="s">
        <v>122</v>
      </c>
    </row>
    <row r="15" spans="1:9">
      <c r="A15" s="38" t="s">
        <v>7</v>
      </c>
      <c r="B15" s="38" t="s">
        <v>7</v>
      </c>
      <c r="C15" s="38" t="s">
        <v>7</v>
      </c>
      <c r="D15" s="38" t="s">
        <v>7</v>
      </c>
      <c r="E15" s="245" t="s">
        <v>281</v>
      </c>
      <c r="F15" s="245" t="s">
        <v>281</v>
      </c>
      <c r="G15" s="38" t="s">
        <v>7</v>
      </c>
      <c r="H15" s="38" t="s">
        <v>7</v>
      </c>
      <c r="I15" s="245" t="s">
        <v>281</v>
      </c>
    </row>
    <row r="16" spans="1:9" ht="15.75" thickBot="1">
      <c r="A16" s="34"/>
      <c r="B16" s="34"/>
      <c r="C16" s="34"/>
      <c r="D16" s="34"/>
      <c r="G16" s="34"/>
      <c r="H16" s="34"/>
      <c r="I16" s="34"/>
    </row>
    <row r="17" spans="1:9">
      <c r="A17" s="164"/>
      <c r="B17" s="116"/>
      <c r="C17" s="116"/>
      <c r="D17" s="116"/>
      <c r="E17" s="338"/>
      <c r="F17" s="338"/>
      <c r="G17" s="116"/>
      <c r="H17" s="116"/>
      <c r="I17" s="165"/>
    </row>
    <row r="18" spans="1:9" ht="20.25" customHeight="1">
      <c r="A18" s="106" t="str">
        <f>+'S&amp;D'!A22</f>
        <v>DCP Midstream LP</v>
      </c>
      <c r="B18" s="93" t="str">
        <f>+'S&amp;D'!B22</f>
        <v>DCP</v>
      </c>
      <c r="C18" s="93" t="str">
        <f>+'S&amp;D'!C22</f>
        <v>Pipeline MLPs</v>
      </c>
      <c r="D18" s="339">
        <v>0.02</v>
      </c>
      <c r="E18" s="281">
        <v>0.15</v>
      </c>
      <c r="F18" s="281">
        <v>0.05</v>
      </c>
      <c r="G18" s="93" t="s">
        <v>25</v>
      </c>
      <c r="H18" s="61">
        <v>1.6</v>
      </c>
      <c r="I18" s="330">
        <v>1.45</v>
      </c>
    </row>
    <row r="19" spans="1:9" ht="20.25" customHeight="1">
      <c r="A19" s="106" t="str">
        <f>+'S&amp;D'!A23</f>
        <v>Energy Transfer LP</v>
      </c>
      <c r="B19" s="93" t="str">
        <f>+'S&amp;D'!B23</f>
        <v>ET</v>
      </c>
      <c r="C19" s="93" t="str">
        <f>+'S&amp;D'!C23</f>
        <v>Pipeline MLPs</v>
      </c>
      <c r="D19" s="375" t="s">
        <v>430</v>
      </c>
      <c r="E19" s="281">
        <v>0.15</v>
      </c>
      <c r="F19" s="281">
        <v>0.15</v>
      </c>
      <c r="G19" s="93" t="s">
        <v>25</v>
      </c>
      <c r="H19" s="61">
        <v>1.2</v>
      </c>
      <c r="I19" s="330">
        <v>1.1499999999999999</v>
      </c>
    </row>
    <row r="20" spans="1:9" ht="20.25" customHeight="1">
      <c r="A20" s="106" t="str">
        <f>+'S&amp;D'!A24</f>
        <v>Enterprise Products Partnership LP</v>
      </c>
      <c r="B20" s="93" t="str">
        <f>+'S&amp;D'!B24</f>
        <v>EPD</v>
      </c>
      <c r="C20" s="93" t="str">
        <f>+'S&amp;D'!C24</f>
        <v>Pipeline MLPs</v>
      </c>
      <c r="D20" s="339">
        <v>1.4999999999999999E-2</v>
      </c>
      <c r="E20" s="281">
        <v>0.21</v>
      </c>
      <c r="F20" s="281">
        <v>5.5E-2</v>
      </c>
      <c r="G20" s="93" t="s">
        <v>26</v>
      </c>
      <c r="H20" s="61">
        <v>1.1000000000000001</v>
      </c>
      <c r="I20" s="330">
        <v>1.05</v>
      </c>
    </row>
    <row r="21" spans="1:9" ht="20.25" customHeight="1">
      <c r="A21" s="106" t="str">
        <f>+'S&amp;D'!A25</f>
        <v>Hess Midstream LP</v>
      </c>
      <c r="B21" s="93" t="str">
        <f>+'S&amp;D'!B25</f>
        <v>HESM</v>
      </c>
      <c r="C21" s="93" t="str">
        <f>+'S&amp;D'!C25</f>
        <v>Pipeline MLPs</v>
      </c>
      <c r="D21" s="339">
        <v>0.04</v>
      </c>
      <c r="E21" s="376" t="s">
        <v>430</v>
      </c>
      <c r="F21" s="376" t="s">
        <v>430</v>
      </c>
      <c r="G21" s="93" t="s">
        <v>431</v>
      </c>
      <c r="H21" s="61">
        <v>1.1000000000000001</v>
      </c>
      <c r="I21" s="330">
        <v>1.05</v>
      </c>
    </row>
    <row r="22" spans="1:9" ht="20.25" customHeight="1">
      <c r="A22" s="106" t="str">
        <f>+'S&amp;D'!A26</f>
        <v>Holly Energy Partners LP</v>
      </c>
      <c r="B22" s="93" t="str">
        <f>+'S&amp;D'!B26</f>
        <v>HEP</v>
      </c>
      <c r="C22" s="93" t="str">
        <f>+'S&amp;D'!C26</f>
        <v>Pipeline MLPs</v>
      </c>
      <c r="D22" s="339">
        <v>1E-3</v>
      </c>
      <c r="E22" s="281">
        <v>0.31</v>
      </c>
      <c r="F22" s="281">
        <v>0.115</v>
      </c>
      <c r="G22" s="93" t="s">
        <v>432</v>
      </c>
      <c r="H22" s="61">
        <v>0.9</v>
      </c>
      <c r="I22" s="330">
        <v>0.95</v>
      </c>
    </row>
    <row r="23" spans="1:9" ht="20.25" customHeight="1">
      <c r="A23" s="106" t="str">
        <f>+'S&amp;D'!A27</f>
        <v>Magellan Midstream Partners LP</v>
      </c>
      <c r="B23" s="93" t="str">
        <f>+'S&amp;D'!B27</f>
        <v>MMP</v>
      </c>
      <c r="C23" s="93" t="str">
        <f>+'S&amp;D'!C27</f>
        <v>Pipeline MLPs</v>
      </c>
      <c r="D23" s="339">
        <v>5.0000000000000001E-3</v>
      </c>
      <c r="E23" s="281">
        <v>0.625</v>
      </c>
      <c r="F23" s="281">
        <v>7.4999999999999997E-2</v>
      </c>
      <c r="G23" s="93" t="s">
        <v>25</v>
      </c>
      <c r="H23" s="61">
        <v>1.2</v>
      </c>
      <c r="I23" s="330">
        <v>1.1000000000000001</v>
      </c>
    </row>
    <row r="24" spans="1:9" ht="20.25" customHeight="1">
      <c r="A24" s="106" t="str">
        <f>+'S&amp;D'!A28</f>
        <v>MPLX, LP</v>
      </c>
      <c r="B24" s="93" t="str">
        <f>+'S&amp;D'!B28</f>
        <v>MPLX</v>
      </c>
      <c r="C24" s="93" t="str">
        <f>+'S&amp;D'!C28</f>
        <v>Pipeline MLPs</v>
      </c>
      <c r="D24" s="124">
        <v>0.03</v>
      </c>
      <c r="E24" s="281">
        <v>0.37</v>
      </c>
      <c r="F24" s="281">
        <v>0.14499999999999999</v>
      </c>
      <c r="G24" s="93" t="s">
        <v>25</v>
      </c>
      <c r="H24" s="61">
        <v>1.05</v>
      </c>
      <c r="I24" s="330">
        <v>1</v>
      </c>
    </row>
    <row r="25" spans="1:9" ht="20.25" customHeight="1">
      <c r="A25" s="106" t="str">
        <f>+'S&amp;D'!A29</f>
        <v>NuStar Energy LP</v>
      </c>
      <c r="B25" s="93" t="str">
        <f>+'S&amp;D'!B29</f>
        <v>NS</v>
      </c>
      <c r="C25" s="93" t="str">
        <f>+'S&amp;D'!C29</f>
        <v>Pipeline MLPs</v>
      </c>
      <c r="D25" s="124">
        <v>1.4E-2</v>
      </c>
      <c r="E25" s="281">
        <v>0.17</v>
      </c>
      <c r="F25" s="376" t="s">
        <v>430</v>
      </c>
      <c r="G25" s="93" t="s">
        <v>92</v>
      </c>
      <c r="H25" s="61">
        <v>1.25</v>
      </c>
      <c r="I25" s="330">
        <v>1.2</v>
      </c>
    </row>
    <row r="26" spans="1:9" ht="20.25" customHeight="1">
      <c r="A26" s="106" t="str">
        <f>+'S&amp;D'!A30</f>
        <v>Plains All American Pipeline LP</v>
      </c>
      <c r="B26" s="93" t="str">
        <f>+'S&amp;D'!B30</f>
        <v>PAA</v>
      </c>
      <c r="C26" s="93" t="str">
        <f>+'S&amp;D'!C30</f>
        <v>Pipeline MLPs</v>
      </c>
      <c r="D26" s="124">
        <v>0.15</v>
      </c>
      <c r="E26" s="281">
        <v>0.11</v>
      </c>
      <c r="F26" s="281">
        <v>0.02</v>
      </c>
      <c r="G26" s="93" t="s">
        <v>92</v>
      </c>
      <c r="H26" s="61">
        <v>1.5</v>
      </c>
      <c r="I26" s="330">
        <v>1.4</v>
      </c>
    </row>
    <row r="27" spans="1:9" ht="20.25" customHeight="1" thickBot="1">
      <c r="A27" s="64" t="str">
        <f>+'S&amp;D'!A31</f>
        <v>Western Midstream Partners LP</v>
      </c>
      <c r="B27" s="93" t="str">
        <f>+'S&amp;D'!B31</f>
        <v>WES</v>
      </c>
      <c r="C27" s="93" t="str">
        <f>+'S&amp;D'!C31</f>
        <v>Pipeline MLPs</v>
      </c>
      <c r="D27" s="124">
        <v>0.01</v>
      </c>
      <c r="E27" s="281">
        <v>0.47</v>
      </c>
      <c r="F27" s="281">
        <v>0.15</v>
      </c>
      <c r="G27" s="93" t="s">
        <v>92</v>
      </c>
      <c r="H27" s="66">
        <v>1.4</v>
      </c>
      <c r="I27" s="377">
        <v>1.35</v>
      </c>
    </row>
    <row r="28" spans="1:9" ht="20.25" customHeight="1" thickTop="1">
      <c r="A28" s="110"/>
      <c r="B28" s="110"/>
      <c r="C28" s="4"/>
      <c r="D28" s="189" t="s">
        <v>0</v>
      </c>
      <c r="E28" s="4"/>
      <c r="F28" s="4"/>
      <c r="G28" s="128" t="s">
        <v>46</v>
      </c>
      <c r="H28" s="190">
        <v>1.6</v>
      </c>
      <c r="I28" s="191">
        <v>1.45</v>
      </c>
    </row>
    <row r="29" spans="1:9" ht="20.25" customHeight="1">
      <c r="A29" s="110"/>
      <c r="B29" s="110"/>
      <c r="C29" s="4"/>
      <c r="D29" s="189" t="s">
        <v>0</v>
      </c>
      <c r="E29" s="4"/>
      <c r="F29" s="4"/>
      <c r="G29" s="128" t="s">
        <v>47</v>
      </c>
      <c r="H29" s="381">
        <v>0.9</v>
      </c>
      <c r="I29" s="382">
        <v>0.95</v>
      </c>
    </row>
    <row r="30" spans="1:9" ht="20.25" customHeight="1">
      <c r="A30" s="110"/>
      <c r="B30" s="110"/>
      <c r="C30" s="4"/>
      <c r="D30" s="192" t="s">
        <v>0</v>
      </c>
      <c r="E30" s="4"/>
      <c r="F30" s="4"/>
      <c r="G30" s="128" t="s">
        <v>18</v>
      </c>
      <c r="H30" s="193">
        <f>MEDIAN(H18:H27)</f>
        <v>1.2</v>
      </c>
      <c r="I30" s="193">
        <f>MEDIAN(I18:I27)</f>
        <v>1.125</v>
      </c>
    </row>
    <row r="31" spans="1:9" ht="20.25" customHeight="1">
      <c r="A31" s="110"/>
      <c r="B31" s="110"/>
      <c r="C31" s="4"/>
      <c r="D31" s="131" t="s">
        <v>0</v>
      </c>
      <c r="E31" s="4"/>
      <c r="F31" s="4"/>
      <c r="G31" s="128" t="s">
        <v>473</v>
      </c>
      <c r="H31" s="194">
        <f>AVERAGE(H18:H27)</f>
        <v>1.23</v>
      </c>
      <c r="I31" s="194">
        <f>AVERAGE(I18:I27)</f>
        <v>1.17</v>
      </c>
    </row>
    <row r="32" spans="1:9" ht="20.25" customHeight="1" thickBot="1">
      <c r="A32" s="12"/>
      <c r="B32" s="12"/>
      <c r="C32" s="12"/>
      <c r="D32" s="12" t="s">
        <v>0</v>
      </c>
      <c r="G32" s="12"/>
      <c r="H32" s="12"/>
      <c r="I32" s="12"/>
    </row>
    <row r="33" spans="1:9" ht="20.25" customHeight="1" thickBot="1">
      <c r="A33" s="12"/>
      <c r="B33" s="12"/>
      <c r="C33" s="12"/>
      <c r="D33" s="12"/>
      <c r="G33" s="12"/>
      <c r="H33" s="217" t="s">
        <v>75</v>
      </c>
      <c r="I33" s="337">
        <v>1.17</v>
      </c>
    </row>
    <row r="34" spans="1:9" ht="20.25" customHeight="1">
      <c r="A34" s="12"/>
      <c r="B34" s="12"/>
      <c r="C34" s="12"/>
      <c r="D34" s="12"/>
      <c r="G34" s="12"/>
      <c r="H34" s="70"/>
      <c r="I34" s="307"/>
    </row>
    <row r="35" spans="1:9" ht="20.25" customHeight="1">
      <c r="A35" s="12"/>
      <c r="B35" s="12"/>
      <c r="C35" s="12"/>
      <c r="D35" s="12"/>
      <c r="G35" s="12"/>
      <c r="H35" s="70"/>
      <c r="I35" s="307"/>
    </row>
    <row r="36" spans="1:9" ht="15.75">
      <c r="A36" s="110" t="s">
        <v>352</v>
      </c>
    </row>
    <row r="37" spans="1:9" ht="15.75">
      <c r="A37" s="110" t="s">
        <v>351</v>
      </c>
    </row>
  </sheetData>
  <pageMargins left="0.25" right="0.25"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M33"/>
  <sheetViews>
    <sheetView view="pageBreakPreview" zoomScale="60" zoomScaleNormal="80" workbookViewId="0">
      <selection activeCell="I6" sqref="I6"/>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Liquid Transportation Pipeline Carriers</v>
      </c>
      <c r="B6" s="211"/>
      <c r="C6" s="12"/>
      <c r="D6" s="28"/>
      <c r="E6" s="28"/>
      <c r="F6" s="29" t="s">
        <v>0</v>
      </c>
      <c r="G6" s="12"/>
      <c r="H6" s="12"/>
      <c r="I6" s="12"/>
      <c r="J6" s="12"/>
    </row>
    <row r="7" spans="1:11" ht="20.25">
      <c r="A7" s="30"/>
      <c r="B7" s="12"/>
      <c r="C7" s="12"/>
      <c r="D7" s="12"/>
      <c r="E7" s="31" t="s">
        <v>175</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171</v>
      </c>
      <c r="F10" s="34" t="s">
        <v>173</v>
      </c>
      <c r="G10" s="34" t="s">
        <v>171</v>
      </c>
      <c r="H10" s="34" t="s">
        <v>173</v>
      </c>
      <c r="I10" s="34" t="s">
        <v>171</v>
      </c>
      <c r="J10" s="34" t="s">
        <v>173</v>
      </c>
      <c r="K10" s="34" t="s">
        <v>284</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282</v>
      </c>
      <c r="H12" s="36" t="s">
        <v>282</v>
      </c>
      <c r="I12" s="36" t="s">
        <v>283</v>
      </c>
      <c r="J12" s="36" t="s">
        <v>283</v>
      </c>
      <c r="K12" s="247" t="s">
        <v>285</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64" t="str">
        <f>+'S&amp;D'!A22</f>
        <v>DCP Midstream LP</v>
      </c>
      <c r="B16" s="93" t="str">
        <f>+'S&amp;D'!B22</f>
        <v>DCP</v>
      </c>
      <c r="C16" s="93" t="str">
        <f>+'S&amp;D'!C22</f>
        <v>Pipeline MLPs</v>
      </c>
      <c r="D16" s="61">
        <f>+'S&amp;D'!G22</f>
        <v>38.79</v>
      </c>
      <c r="E16" s="63">
        <v>1.64</v>
      </c>
      <c r="F16" s="67">
        <f>+E16/D16</f>
        <v>4.2278937870585204E-2</v>
      </c>
      <c r="G16" s="63">
        <v>2.8</v>
      </c>
      <c r="H16" s="67">
        <f>+G16/D16</f>
        <v>7.2183552461974734E-2</v>
      </c>
      <c r="I16" s="63">
        <v>3.65</v>
      </c>
      <c r="J16" s="67">
        <f>+I16/D16</f>
        <v>9.409641660221707E-2</v>
      </c>
      <c r="K16" s="246">
        <f>RATE(3,,-G16,I16)</f>
        <v>9.2391413245761334E-2</v>
      </c>
    </row>
    <row r="17" spans="1:13" ht="15.75">
      <c r="A17" s="64" t="str">
        <f>+'S&amp;D'!A23</f>
        <v>Energy Transfer LP</v>
      </c>
      <c r="B17" s="93" t="str">
        <f>+'S&amp;D'!B23</f>
        <v>ET</v>
      </c>
      <c r="C17" s="93" t="str">
        <f>+'S&amp;D'!C23</f>
        <v>Pipeline MLPs</v>
      </c>
      <c r="D17" s="61">
        <f>+'S&amp;D'!G23</f>
        <v>11.87</v>
      </c>
      <c r="E17" s="63">
        <v>0.87</v>
      </c>
      <c r="F17" s="67">
        <f t="shared" ref="F17:F21" si="0">+E17/D17</f>
        <v>7.329401853411964E-2</v>
      </c>
      <c r="G17" s="63">
        <v>0.92</v>
      </c>
      <c r="H17" s="67">
        <f t="shared" ref="H17:H21" si="1">+G17/D17</f>
        <v>7.7506318449873643E-2</v>
      </c>
      <c r="I17" s="63">
        <v>1.22</v>
      </c>
      <c r="J17" s="67">
        <f t="shared" ref="J17:J21" si="2">+I17/D17</f>
        <v>0.10278011794439765</v>
      </c>
      <c r="K17" s="246">
        <f t="shared" ref="K17:K21" si="3">RATE(3,,-G17,I17)</f>
        <v>9.8644875762172596E-2</v>
      </c>
    </row>
    <row r="18" spans="1:13" ht="15.75">
      <c r="A18" s="64" t="str">
        <f>+'S&amp;D'!A24</f>
        <v>Enterprise Products Partnership LP</v>
      </c>
      <c r="B18" s="93" t="str">
        <f>+'S&amp;D'!B24</f>
        <v>EPD</v>
      </c>
      <c r="C18" s="93" t="str">
        <f>+'S&amp;D'!C24</f>
        <v>Pipeline MLPs</v>
      </c>
      <c r="D18" s="61">
        <f>+'S&amp;D'!G24</f>
        <v>24.12</v>
      </c>
      <c r="E18" s="63">
        <v>1.88</v>
      </c>
      <c r="F18" s="67">
        <f t="shared" si="0"/>
        <v>7.7943615257048085E-2</v>
      </c>
      <c r="G18" s="63">
        <v>2</v>
      </c>
      <c r="H18" s="67">
        <f t="shared" si="1"/>
        <v>8.2918739635157543E-2</v>
      </c>
      <c r="I18" s="63">
        <v>3.15</v>
      </c>
      <c r="J18" s="67">
        <f t="shared" si="2"/>
        <v>0.13059701492537312</v>
      </c>
      <c r="K18" s="246">
        <f t="shared" si="3"/>
        <v>0.16348338572528087</v>
      </c>
    </row>
    <row r="19" spans="1:13" ht="15.75">
      <c r="A19" s="64" t="str">
        <f>+'S&amp;D'!A25</f>
        <v>Hess Midstream LP</v>
      </c>
      <c r="B19" s="93" t="str">
        <f>+'S&amp;D'!B25</f>
        <v>HESM</v>
      </c>
      <c r="C19" s="93" t="str">
        <f>+'S&amp;D'!C25</f>
        <v>Pipeline MLPs</v>
      </c>
      <c r="D19" s="61">
        <f>+'S&amp;D'!G25</f>
        <v>29.92</v>
      </c>
      <c r="E19" s="63">
        <v>2.1800000000000002</v>
      </c>
      <c r="F19" s="67">
        <f t="shared" si="0"/>
        <v>7.286096256684492E-2</v>
      </c>
      <c r="G19" s="63">
        <v>2.4</v>
      </c>
      <c r="H19" s="67">
        <f t="shared" si="1"/>
        <v>8.0213903743315496E-2</v>
      </c>
      <c r="I19" s="63">
        <v>3.3</v>
      </c>
      <c r="J19" s="67">
        <f t="shared" si="2"/>
        <v>0.11029411764705881</v>
      </c>
      <c r="K19" s="246">
        <f t="shared" si="3"/>
        <v>0.11199004528465806</v>
      </c>
    </row>
    <row r="20" spans="1:13" ht="15.75">
      <c r="A20" s="64" t="str">
        <f>+'S&amp;D'!A26</f>
        <v>Holly Energy Partners LP</v>
      </c>
      <c r="B20" s="93" t="str">
        <f>+'S&amp;D'!B26</f>
        <v>HEP</v>
      </c>
      <c r="C20" s="93" t="str">
        <f>+'S&amp;D'!C26</f>
        <v>Pipeline MLPs</v>
      </c>
      <c r="D20" s="61">
        <f>+'S&amp;D'!G26</f>
        <v>18.12</v>
      </c>
      <c r="E20" s="63">
        <v>1.4</v>
      </c>
      <c r="F20" s="67">
        <f t="shared" si="0"/>
        <v>7.7262693156732884E-2</v>
      </c>
      <c r="G20" s="63">
        <v>1.4</v>
      </c>
      <c r="H20" s="67">
        <f t="shared" si="1"/>
        <v>7.7262693156732884E-2</v>
      </c>
      <c r="I20" s="63">
        <v>1.9</v>
      </c>
      <c r="J20" s="67">
        <f t="shared" si="2"/>
        <v>0.10485651214128035</v>
      </c>
      <c r="K20" s="246">
        <f t="shared" si="3"/>
        <v>0.10715524489385014</v>
      </c>
    </row>
    <row r="21" spans="1:13" ht="15.75">
      <c r="A21" s="64" t="str">
        <f>+'S&amp;D'!A27</f>
        <v>Magellan Midstream Partners LP</v>
      </c>
      <c r="B21" s="93" t="str">
        <f>+'S&amp;D'!B27</f>
        <v>MMP</v>
      </c>
      <c r="C21" s="93" t="str">
        <f>+'S&amp;D'!C27</f>
        <v>Pipeline MLPs</v>
      </c>
      <c r="D21" s="61">
        <f>+'S&amp;D'!G27</f>
        <v>50.21</v>
      </c>
      <c r="E21" s="63">
        <v>4.16</v>
      </c>
      <c r="F21" s="67">
        <f t="shared" si="0"/>
        <v>8.2852021509659438E-2</v>
      </c>
      <c r="G21" s="63">
        <v>4.22</v>
      </c>
      <c r="H21" s="67">
        <f t="shared" si="1"/>
        <v>8.4047002589125661E-2</v>
      </c>
      <c r="I21" s="63">
        <v>6.45</v>
      </c>
      <c r="J21" s="67">
        <f t="shared" si="2"/>
        <v>0.12846046604262099</v>
      </c>
      <c r="K21" s="246">
        <f t="shared" si="3"/>
        <v>0.1519025894390888</v>
      </c>
    </row>
    <row r="22" spans="1:13" ht="15.75">
      <c r="A22" s="64" t="str">
        <f>+'S&amp;D'!A28</f>
        <v>MPLX, LP</v>
      </c>
      <c r="B22" s="93" t="str">
        <f>+'S&amp;D'!B28</f>
        <v>MPLX</v>
      </c>
      <c r="C22" s="93" t="str">
        <f>+'S&amp;D'!C28</f>
        <v>Pipeline MLPs</v>
      </c>
      <c r="D22" s="61">
        <f>+'S&amp;D'!G28</f>
        <v>32.840000000000003</v>
      </c>
      <c r="E22" s="63">
        <v>2.89</v>
      </c>
      <c r="F22" s="67">
        <f t="shared" ref="F22:F25" si="4">+E22/D22</f>
        <v>8.8002436053593175E-2</v>
      </c>
      <c r="G22" s="63">
        <v>2.95</v>
      </c>
      <c r="H22" s="67">
        <f>+G22/D22</f>
        <v>8.9829476248477466E-2</v>
      </c>
      <c r="I22" s="63">
        <v>3.25</v>
      </c>
      <c r="J22" s="67">
        <f t="shared" ref="J22:J25" si="5">+I22/D22</f>
        <v>9.8964677222898895E-2</v>
      </c>
      <c r="K22" s="246">
        <f>RATE(3,,-G22,I22)</f>
        <v>3.2810033473186846E-2</v>
      </c>
    </row>
    <row r="23" spans="1:13" ht="15.75">
      <c r="A23" s="64" t="str">
        <f>+'S&amp;D'!A29</f>
        <v>NuStar Energy LP</v>
      </c>
      <c r="B23" s="93" t="str">
        <f>+'S&amp;D'!B29</f>
        <v>NS</v>
      </c>
      <c r="C23" s="93" t="str">
        <f>+'S&amp;D'!C29</f>
        <v>Pipeline MLPs</v>
      </c>
      <c r="D23" s="61">
        <f>+'S&amp;D'!G29</f>
        <v>16</v>
      </c>
      <c r="E23" s="63">
        <v>1.6</v>
      </c>
      <c r="F23" s="67">
        <f t="shared" si="4"/>
        <v>0.1</v>
      </c>
      <c r="G23" s="63">
        <v>1.6</v>
      </c>
      <c r="H23" s="67">
        <f t="shared" ref="H23:H25" si="6">+G23/D23</f>
        <v>0.1</v>
      </c>
      <c r="I23" s="63">
        <v>2.6</v>
      </c>
      <c r="J23" s="67">
        <f t="shared" si="5"/>
        <v>0.16250000000000001</v>
      </c>
      <c r="K23" s="246">
        <f t="shared" ref="K23:K25" si="7">RATE(3,,-G23,I23)</f>
        <v>0.17566734386037797</v>
      </c>
      <c r="M23" s="389"/>
    </row>
    <row r="24" spans="1:13" ht="15.75">
      <c r="A24" s="64" t="str">
        <f>+'S&amp;D'!A30</f>
        <v>Plains All American Pipeline LP</v>
      </c>
      <c r="B24" s="93" t="str">
        <f>+'S&amp;D'!B30</f>
        <v>PAA</v>
      </c>
      <c r="C24" s="93" t="str">
        <f>+'S&amp;D'!C30</f>
        <v>Pipeline MLPs</v>
      </c>
      <c r="D24" s="61">
        <f>+'S&amp;D'!G30</f>
        <v>11.76</v>
      </c>
      <c r="E24" s="63">
        <v>0.83</v>
      </c>
      <c r="F24" s="67">
        <f t="shared" si="4"/>
        <v>7.0578231292517002E-2</v>
      </c>
      <c r="G24" s="63">
        <v>1.07</v>
      </c>
      <c r="H24" s="67">
        <f t="shared" si="6"/>
        <v>9.0986394557823133E-2</v>
      </c>
      <c r="I24" s="63">
        <v>2.8</v>
      </c>
      <c r="J24" s="67">
        <f t="shared" si="5"/>
        <v>0.23809523809523808</v>
      </c>
      <c r="K24" s="246">
        <f t="shared" si="7"/>
        <v>0.3780281348823481</v>
      </c>
    </row>
    <row r="25" spans="1:13" ht="15.75">
      <c r="A25" s="64" t="str">
        <f>+'S&amp;D'!A31</f>
        <v>Western Midstream Partners LP</v>
      </c>
      <c r="B25" s="93" t="str">
        <f>+'S&amp;D'!B31</f>
        <v>WES</v>
      </c>
      <c r="C25" s="93" t="str">
        <f>+'S&amp;D'!C31</f>
        <v>Pipeline MLPs</v>
      </c>
      <c r="D25" s="61">
        <f>+'S&amp;D'!G31</f>
        <v>26.85</v>
      </c>
      <c r="E25" s="63">
        <v>1.83</v>
      </c>
      <c r="F25" s="67">
        <f t="shared" si="4"/>
        <v>6.8156424581005584E-2</v>
      </c>
      <c r="G25" s="63">
        <v>2.15</v>
      </c>
      <c r="H25" s="67">
        <f t="shared" si="6"/>
        <v>8.0074487895716945E-2</v>
      </c>
      <c r="I25" s="63">
        <v>3.85</v>
      </c>
      <c r="J25" s="67">
        <f t="shared" si="5"/>
        <v>0.14338919925512103</v>
      </c>
      <c r="K25" s="246">
        <f t="shared" si="7"/>
        <v>0.21434127432408118</v>
      </c>
    </row>
    <row r="26" spans="1:13" ht="15.75" thickBot="1">
      <c r="A26" s="12"/>
      <c r="B26" s="12"/>
      <c r="C26" s="43"/>
      <c r="D26" s="46"/>
      <c r="E26" s="46"/>
      <c r="F26" s="46"/>
      <c r="G26" s="46"/>
      <c r="H26" s="46"/>
      <c r="I26" s="46"/>
      <c r="J26" s="46"/>
      <c r="K26" s="46"/>
    </row>
    <row r="27" spans="1:13" ht="15.75" thickTop="1">
      <c r="A27" s="12"/>
      <c r="B27" s="12"/>
      <c r="D27" s="14" t="s">
        <v>46</v>
      </c>
      <c r="E27" s="16">
        <v>4.16</v>
      </c>
      <c r="F27" s="344">
        <v>0.1</v>
      </c>
      <c r="G27" s="16">
        <v>4.22</v>
      </c>
      <c r="H27" s="344">
        <v>0.1</v>
      </c>
      <c r="I27" s="16">
        <v>6.45</v>
      </c>
      <c r="J27" s="344">
        <v>0.23810000000000001</v>
      </c>
      <c r="K27" s="344">
        <v>0.378</v>
      </c>
    </row>
    <row r="28" spans="1:13">
      <c r="A28" s="12"/>
      <c r="B28" s="12"/>
      <c r="D28" s="14" t="s">
        <v>47</v>
      </c>
      <c r="E28" s="379">
        <v>0.83</v>
      </c>
      <c r="F28" s="380">
        <v>4.2299999999999997E-2</v>
      </c>
      <c r="G28" s="379">
        <v>0.92</v>
      </c>
      <c r="H28" s="380">
        <v>7.22E-2</v>
      </c>
      <c r="I28" s="379">
        <v>1.22</v>
      </c>
      <c r="J28" s="380">
        <v>9.4100000000000003E-2</v>
      </c>
      <c r="K28" s="380">
        <v>3.2800000000000003E-2</v>
      </c>
    </row>
    <row r="29" spans="1:13">
      <c r="A29" s="12"/>
      <c r="B29" s="12"/>
      <c r="D29" s="14" t="s">
        <v>18</v>
      </c>
      <c r="E29" s="17">
        <f t="shared" ref="E29:K29" si="8">MEDIAN(E16:E25)</f>
        <v>1.7349999999999999</v>
      </c>
      <c r="F29" s="54">
        <f t="shared" si="8"/>
        <v>7.5278355845426262E-2</v>
      </c>
      <c r="G29" s="17">
        <f t="shared" si="8"/>
        <v>2.0750000000000002</v>
      </c>
      <c r="H29" s="54">
        <f t="shared" si="8"/>
        <v>8.1566321689236526E-2</v>
      </c>
      <c r="I29" s="17">
        <f t="shared" si="8"/>
        <v>3.2</v>
      </c>
      <c r="J29" s="54">
        <f t="shared" si="8"/>
        <v>0.11937729184483989</v>
      </c>
      <c r="K29" s="54">
        <f t="shared" si="8"/>
        <v>0.13194631736187343</v>
      </c>
    </row>
    <row r="30" spans="1:13">
      <c r="A30" s="12"/>
      <c r="B30" s="12"/>
      <c r="D30" s="14" t="s">
        <v>473</v>
      </c>
      <c r="E30" s="21">
        <f t="shared" ref="E30:K30" si="9">AVERAGE(E16:E25)</f>
        <v>1.9280000000000002</v>
      </c>
      <c r="F30" s="56">
        <f t="shared" si="9"/>
        <v>7.532293408221058E-2</v>
      </c>
      <c r="G30" s="21">
        <f t="shared" si="9"/>
        <v>2.1509999999999998</v>
      </c>
      <c r="H30" s="56">
        <f t="shared" si="9"/>
        <v>8.350225687381975E-2</v>
      </c>
      <c r="I30" s="21">
        <f t="shared" si="9"/>
        <v>3.2170000000000001</v>
      </c>
      <c r="J30" s="56">
        <f t="shared" si="9"/>
        <v>0.13140337598762059</v>
      </c>
      <c r="K30" s="56">
        <f t="shared" si="9"/>
        <v>0.1526414340890806</v>
      </c>
    </row>
    <row r="31" spans="1:13">
      <c r="A31" s="12"/>
      <c r="B31" s="12"/>
      <c r="C31" s="12"/>
      <c r="D31" s="12"/>
      <c r="E31" s="12"/>
      <c r="F31" s="12"/>
      <c r="G31" s="12"/>
      <c r="H31" s="12"/>
      <c r="I31" s="12"/>
      <c r="J31" s="12"/>
      <c r="K31" s="12"/>
    </row>
    <row r="32" spans="1:13" ht="20.25">
      <c r="A32" s="12"/>
      <c r="B32" s="12"/>
      <c r="C32" s="12"/>
      <c r="D32" s="12"/>
      <c r="E32" s="12"/>
      <c r="F32" s="49" t="s">
        <v>0</v>
      </c>
      <c r="G32" s="65" t="s">
        <v>0</v>
      </c>
      <c r="H32" s="12"/>
      <c r="I32" s="12"/>
      <c r="J32" s="12"/>
      <c r="K32" s="12"/>
    </row>
    <row r="33" spans="1:1" ht="18.75">
      <c r="A33" s="248" t="s">
        <v>286</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33"/>
  <sheetViews>
    <sheetView view="pageBreakPreview" zoomScale="60" zoomScaleNormal="80" workbookViewId="0">
      <selection activeCell="I5" sqref="I5"/>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Liquid Transportation Pipeline Carriers</v>
      </c>
      <c r="B6" s="211"/>
      <c r="C6" s="12"/>
      <c r="D6" s="28"/>
      <c r="E6" s="28"/>
      <c r="F6" s="29" t="s">
        <v>0</v>
      </c>
      <c r="G6" s="12"/>
      <c r="H6" s="12"/>
      <c r="I6" s="12"/>
      <c r="J6" s="12"/>
    </row>
    <row r="7" spans="1:11" ht="20.25">
      <c r="A7" s="30"/>
      <c r="B7" s="12"/>
      <c r="C7" s="12"/>
      <c r="D7" s="12"/>
      <c r="E7" s="31" t="s">
        <v>287</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176</v>
      </c>
      <c r="F10" s="34" t="s">
        <v>176</v>
      </c>
      <c r="G10" s="34" t="s">
        <v>176</v>
      </c>
      <c r="H10" s="34" t="s">
        <v>176</v>
      </c>
      <c r="I10" s="34" t="s">
        <v>176</v>
      </c>
      <c r="J10" s="34" t="s">
        <v>176</v>
      </c>
      <c r="K10" s="34" t="s">
        <v>284</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282</v>
      </c>
      <c r="H12" s="36" t="s">
        <v>282</v>
      </c>
      <c r="I12" s="36" t="s">
        <v>283</v>
      </c>
      <c r="J12" s="36" t="s">
        <v>283</v>
      </c>
      <c r="K12" s="247" t="s">
        <v>285</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43" t="str">
        <f>+'S&amp;D'!A22</f>
        <v>DCP Midstream LP</v>
      </c>
      <c r="B16" s="34" t="str">
        <f>+'S&amp;D'!B22</f>
        <v>DCP</v>
      </c>
      <c r="C16" s="34" t="str">
        <f>+'S&amp;D'!C22</f>
        <v>Pipeline MLPs</v>
      </c>
      <c r="D16" s="61">
        <f>+'S&amp;D'!G22</f>
        <v>38.79</v>
      </c>
      <c r="E16" s="63">
        <v>4.71</v>
      </c>
      <c r="F16" s="67">
        <f>+E16/D16</f>
        <v>0.1214230471771075</v>
      </c>
      <c r="G16" s="63">
        <v>4.25</v>
      </c>
      <c r="H16" s="67">
        <f>+G16/D16</f>
        <v>0.10956432070121165</v>
      </c>
      <c r="I16" s="63">
        <v>3.75</v>
      </c>
      <c r="J16" s="67">
        <f>+I16/D16</f>
        <v>9.6674400618716169E-2</v>
      </c>
      <c r="K16" s="246">
        <f t="shared" ref="K16:K25" si="0">RATE(3,,-G16,I16)</f>
        <v>-4.0862703135471391E-2</v>
      </c>
    </row>
    <row r="17" spans="1:11" ht="15.75">
      <c r="A17" s="43" t="str">
        <f>+'S&amp;D'!A23</f>
        <v>Energy Transfer LP</v>
      </c>
      <c r="B17" s="34" t="str">
        <f>+'S&amp;D'!B23</f>
        <v>ET</v>
      </c>
      <c r="C17" s="34" t="str">
        <f>+'S&amp;D'!C23</f>
        <v>Pipeline MLPs</v>
      </c>
      <c r="D17" s="61">
        <f>+'S&amp;D'!G23</f>
        <v>11.87</v>
      </c>
      <c r="E17" s="63">
        <v>1.45</v>
      </c>
      <c r="F17" s="67">
        <f t="shared" ref="F17:F21" si="1">+E17/D17</f>
        <v>0.12215669755686605</v>
      </c>
      <c r="G17" s="63">
        <v>1.6</v>
      </c>
      <c r="H17" s="67">
        <f t="shared" ref="H17:H21" si="2">+G17/D17</f>
        <v>0.13479359730412807</v>
      </c>
      <c r="I17" s="63">
        <v>2.35</v>
      </c>
      <c r="J17" s="67">
        <f t="shared" ref="J17:J21" si="3">+I17/D17</f>
        <v>0.19797809604043809</v>
      </c>
      <c r="K17" s="246">
        <f t="shared" ref="K17:K21" si="4">RATE(3,,-G17,I17)</f>
        <v>0.13670898594591951</v>
      </c>
    </row>
    <row r="18" spans="1:11" ht="15.75">
      <c r="A18" s="43" t="str">
        <f>+'S&amp;D'!A24</f>
        <v>Enterprise Products Partnership LP</v>
      </c>
      <c r="B18" s="34" t="str">
        <f>+'S&amp;D'!B24</f>
        <v>EPD</v>
      </c>
      <c r="C18" s="34" t="str">
        <f>+'S&amp;D'!C24</f>
        <v>Pipeline MLPs</v>
      </c>
      <c r="D18" s="61">
        <f>+'S&amp;D'!G24</f>
        <v>24.12</v>
      </c>
      <c r="E18" s="63">
        <v>2.5</v>
      </c>
      <c r="F18" s="67">
        <f t="shared" si="1"/>
        <v>0.10364842454394693</v>
      </c>
      <c r="G18" s="63">
        <v>2.6</v>
      </c>
      <c r="H18" s="67">
        <f t="shared" si="2"/>
        <v>0.1077943615257048</v>
      </c>
      <c r="I18" s="63">
        <v>3.15</v>
      </c>
      <c r="J18" s="67">
        <f t="shared" si="3"/>
        <v>0.13059701492537312</v>
      </c>
      <c r="K18" s="246">
        <f t="shared" si="4"/>
        <v>6.6053667551115677E-2</v>
      </c>
    </row>
    <row r="19" spans="1:11" ht="15.75">
      <c r="A19" s="43" t="str">
        <f>+'S&amp;D'!A25</f>
        <v>Hess Midstream LP</v>
      </c>
      <c r="B19" s="34" t="str">
        <f>+'S&amp;D'!B25</f>
        <v>HESM</v>
      </c>
      <c r="C19" s="34" t="str">
        <f>+'S&amp;D'!C25</f>
        <v>Pipeline MLPs</v>
      </c>
      <c r="D19" s="61">
        <f>+'S&amp;D'!G25</f>
        <v>29.92</v>
      </c>
      <c r="E19" s="63">
        <v>2.0099999999999998</v>
      </c>
      <c r="F19" s="67">
        <f t="shared" si="1"/>
        <v>6.7179144385026729E-2</v>
      </c>
      <c r="G19" s="63">
        <v>2.2999999999999998</v>
      </c>
      <c r="H19" s="67">
        <f t="shared" si="2"/>
        <v>7.6871657754010683E-2</v>
      </c>
      <c r="I19" s="63">
        <v>3.3</v>
      </c>
      <c r="J19" s="67">
        <f t="shared" si="3"/>
        <v>0.11029411764705881</v>
      </c>
      <c r="K19" s="246">
        <f t="shared" si="4"/>
        <v>0.12787776387623195</v>
      </c>
    </row>
    <row r="20" spans="1:11" ht="15.75">
      <c r="A20" s="43" t="str">
        <f>+'S&amp;D'!A26</f>
        <v>Holly Energy Partners LP</v>
      </c>
      <c r="B20" s="34" t="str">
        <f>+'S&amp;D'!B26</f>
        <v>HEP</v>
      </c>
      <c r="C20" s="34" t="str">
        <f>+'S&amp;D'!C26</f>
        <v>Pipeline MLPs</v>
      </c>
      <c r="D20" s="61">
        <f>+'S&amp;D'!G26</f>
        <v>18.12</v>
      </c>
      <c r="E20" s="63">
        <v>1.7</v>
      </c>
      <c r="F20" s="67">
        <f t="shared" si="1"/>
        <v>9.3818984547461362E-2</v>
      </c>
      <c r="G20" s="63">
        <v>2.15</v>
      </c>
      <c r="H20" s="67">
        <f t="shared" si="2"/>
        <v>0.11865342163355408</v>
      </c>
      <c r="I20" s="63">
        <v>2.9</v>
      </c>
      <c r="J20" s="67">
        <f t="shared" si="3"/>
        <v>0.16004415011037526</v>
      </c>
      <c r="K20" s="246">
        <f t="shared" si="4"/>
        <v>0.10489204306989557</v>
      </c>
    </row>
    <row r="21" spans="1:11" ht="15.75">
      <c r="A21" s="43" t="str">
        <f>+'S&amp;D'!A27</f>
        <v>Magellan Midstream Partners LP</v>
      </c>
      <c r="B21" s="34" t="str">
        <f>+'S&amp;D'!B27</f>
        <v>MMP</v>
      </c>
      <c r="C21" s="34" t="str">
        <f>+'S&amp;D'!C27</f>
        <v>Pipeline MLPs</v>
      </c>
      <c r="D21" s="61">
        <f>+'S&amp;D'!G27</f>
        <v>50.21</v>
      </c>
      <c r="E21" s="63">
        <v>4.0999999999999996</v>
      </c>
      <c r="F21" s="67">
        <f t="shared" si="1"/>
        <v>8.1657040430193187E-2</v>
      </c>
      <c r="G21" s="63">
        <v>4.8</v>
      </c>
      <c r="H21" s="67">
        <f t="shared" si="2"/>
        <v>9.5598486357299339E-2</v>
      </c>
      <c r="I21" s="63">
        <v>6.45</v>
      </c>
      <c r="J21" s="67">
        <f t="shared" si="3"/>
        <v>0.12846046604262099</v>
      </c>
      <c r="K21" s="246">
        <f t="shared" si="4"/>
        <v>0.10350124060976269</v>
      </c>
    </row>
    <row r="22" spans="1:11" ht="15.75">
      <c r="A22" s="43" t="str">
        <f>+'S&amp;D'!A28</f>
        <v>MPLX, LP</v>
      </c>
      <c r="B22" s="34" t="str">
        <f>+'S&amp;D'!B28</f>
        <v>MPLX</v>
      </c>
      <c r="C22" s="34" t="str">
        <f>+'S&amp;D'!C28</f>
        <v>Pipeline MLPs</v>
      </c>
      <c r="D22" s="61">
        <f>+'S&amp;D'!G28</f>
        <v>32.840000000000003</v>
      </c>
      <c r="E22" s="63">
        <v>3.75</v>
      </c>
      <c r="F22" s="67">
        <f t="shared" ref="F22:F25" si="5">+E22/D22</f>
        <v>0.11419001218026796</v>
      </c>
      <c r="G22" s="63">
        <v>4.8499999999999996</v>
      </c>
      <c r="H22" s="67">
        <f>+G22/D22</f>
        <v>0.14768574908647988</v>
      </c>
      <c r="I22" s="63">
        <v>4.0999999999999996</v>
      </c>
      <c r="J22" s="67">
        <f t="shared" ref="J22:J25" si="6">+I22/D22</f>
        <v>0.12484774665042629</v>
      </c>
      <c r="K22" s="246">
        <f t="shared" si="0"/>
        <v>-5.4458257960342704E-2</v>
      </c>
    </row>
    <row r="23" spans="1:11" ht="15.75">
      <c r="A23" s="43" t="str">
        <f>+'S&amp;D'!A29</f>
        <v>NuStar Energy LP</v>
      </c>
      <c r="B23" s="34" t="str">
        <f>+'S&amp;D'!B29</f>
        <v>NS</v>
      </c>
      <c r="C23" s="34" t="str">
        <f>+'S&amp;D'!C29</f>
        <v>Pipeline MLPs</v>
      </c>
      <c r="D23" s="61">
        <f>+'S&amp;D'!G29</f>
        <v>16</v>
      </c>
      <c r="E23" s="63">
        <v>0.36</v>
      </c>
      <c r="F23" s="67">
        <f t="shared" si="5"/>
        <v>2.2499999999999999E-2</v>
      </c>
      <c r="G23" s="63">
        <v>1.2</v>
      </c>
      <c r="H23" s="67">
        <f t="shared" ref="H23:H25" si="7">+G23/D23</f>
        <v>7.4999999999999997E-2</v>
      </c>
      <c r="I23" s="63">
        <v>2.25</v>
      </c>
      <c r="J23" s="67">
        <f t="shared" si="6"/>
        <v>0.140625</v>
      </c>
      <c r="K23" s="246">
        <f t="shared" si="0"/>
        <v>0.23310603716432213</v>
      </c>
    </row>
    <row r="24" spans="1:11" ht="15.75">
      <c r="A24" s="43" t="str">
        <f>+'S&amp;D'!A30</f>
        <v>Plains All American Pipeline LP</v>
      </c>
      <c r="B24" s="34" t="str">
        <f>+'S&amp;D'!B30</f>
        <v>PAA</v>
      </c>
      <c r="C24" s="34" t="str">
        <f>+'S&amp;D'!C30</f>
        <v>Pipeline MLPs</v>
      </c>
      <c r="D24" s="61">
        <f>+'S&amp;D'!G30</f>
        <v>11.76</v>
      </c>
      <c r="E24" s="63">
        <v>1.19</v>
      </c>
      <c r="F24" s="67">
        <f t="shared" si="5"/>
        <v>0.10119047619047619</v>
      </c>
      <c r="G24" s="63">
        <v>1.4</v>
      </c>
      <c r="H24" s="67">
        <f t="shared" si="7"/>
        <v>0.11904761904761904</v>
      </c>
      <c r="I24" s="63">
        <v>2.8</v>
      </c>
      <c r="J24" s="67">
        <f t="shared" si="6"/>
        <v>0.23809523809523808</v>
      </c>
      <c r="K24" s="246">
        <f t="shared" si="0"/>
        <v>0.25992104989487319</v>
      </c>
    </row>
    <row r="25" spans="1:11" ht="15.75">
      <c r="A25" s="43" t="str">
        <f>+'S&amp;D'!A31</f>
        <v>Western Midstream Partners LP</v>
      </c>
      <c r="B25" s="34" t="str">
        <f>+'S&amp;D'!B31</f>
        <v>WES</v>
      </c>
      <c r="C25" s="34" t="str">
        <f>+'S&amp;D'!C31</f>
        <v>Pipeline MLPs</v>
      </c>
      <c r="D25" s="61">
        <f>+'S&amp;D'!G31</f>
        <v>26.85</v>
      </c>
      <c r="E25" s="63">
        <v>2.9</v>
      </c>
      <c r="F25" s="67">
        <f t="shared" si="5"/>
        <v>0.10800744878957169</v>
      </c>
      <c r="G25" s="63">
        <v>3.2</v>
      </c>
      <c r="H25" s="67">
        <f t="shared" si="7"/>
        <v>0.11918063314711359</v>
      </c>
      <c r="I25" s="63">
        <v>4</v>
      </c>
      <c r="J25" s="67">
        <f t="shared" si="6"/>
        <v>0.14897579143389197</v>
      </c>
      <c r="K25" s="246">
        <f t="shared" si="0"/>
        <v>7.7217345015989466E-2</v>
      </c>
    </row>
    <row r="26" spans="1:11" ht="15.75" thickBot="1">
      <c r="A26" s="12"/>
      <c r="B26" s="12"/>
      <c r="C26" s="43"/>
      <c r="D26" s="46"/>
      <c r="E26" s="46"/>
      <c r="F26" s="46"/>
      <c r="G26" s="46"/>
      <c r="H26" s="46"/>
      <c r="I26" s="46"/>
      <c r="J26" s="46"/>
      <c r="K26" s="46"/>
    </row>
    <row r="27" spans="1:11" ht="15.75" thickTop="1">
      <c r="A27" s="12"/>
      <c r="B27" s="12"/>
      <c r="C27" s="14" t="s">
        <v>46</v>
      </c>
      <c r="D27" s="16">
        <v>50.21</v>
      </c>
      <c r="E27" s="16">
        <v>4.71</v>
      </c>
      <c r="F27" s="344">
        <v>0.1222</v>
      </c>
      <c r="G27" s="16">
        <v>4.8499999999999996</v>
      </c>
      <c r="H27" s="344">
        <v>0.1477</v>
      </c>
      <c r="I27" s="16">
        <v>6.45</v>
      </c>
      <c r="J27" s="344">
        <v>0.23810000000000001</v>
      </c>
      <c r="K27" s="344">
        <v>0.25990000000000002</v>
      </c>
    </row>
    <row r="28" spans="1:11">
      <c r="A28" s="12"/>
      <c r="B28" s="12"/>
      <c r="C28" s="383" t="s">
        <v>47</v>
      </c>
      <c r="D28" s="379">
        <v>11.76</v>
      </c>
      <c r="E28" s="379">
        <v>0.36</v>
      </c>
      <c r="F28" s="380">
        <v>2.2499999999999999E-2</v>
      </c>
      <c r="G28" s="379">
        <v>1.2</v>
      </c>
      <c r="H28" s="380">
        <v>7.4999999999999997E-2</v>
      </c>
      <c r="I28" s="379">
        <v>2.25</v>
      </c>
      <c r="J28" s="380">
        <v>9.6699999999999994E-2</v>
      </c>
      <c r="K28" s="380">
        <v>-5.45E-2</v>
      </c>
    </row>
    <row r="29" spans="1:11">
      <c r="A29" s="12"/>
      <c r="B29" s="12"/>
      <c r="C29" s="14" t="s">
        <v>18</v>
      </c>
      <c r="D29" s="17">
        <f t="shared" ref="D29:K29" si="8">MEDIAN(D16:D25)</f>
        <v>25.484999999999999</v>
      </c>
      <c r="E29" s="17">
        <f t="shared" si="8"/>
        <v>2.2549999999999999</v>
      </c>
      <c r="F29" s="54">
        <f t="shared" si="8"/>
        <v>0.10241945036721156</v>
      </c>
      <c r="G29" s="17">
        <f t="shared" si="8"/>
        <v>2.4500000000000002</v>
      </c>
      <c r="H29" s="54">
        <f t="shared" si="8"/>
        <v>0.11410887116738286</v>
      </c>
      <c r="I29" s="17">
        <f t="shared" si="8"/>
        <v>3.2249999999999996</v>
      </c>
      <c r="J29" s="54">
        <f t="shared" si="8"/>
        <v>0.13561100746268656</v>
      </c>
      <c r="K29" s="54">
        <f t="shared" si="8"/>
        <v>0.10419664183982913</v>
      </c>
    </row>
    <row r="30" spans="1:11">
      <c r="A30" s="12"/>
      <c r="B30" s="12"/>
      <c r="C30" s="14" t="s">
        <v>473</v>
      </c>
      <c r="D30" s="21">
        <f t="shared" ref="D30:K30" si="9">AVERAGE(D16:D25)</f>
        <v>26.048000000000002</v>
      </c>
      <c r="E30" s="21">
        <f t="shared" si="9"/>
        <v>2.4669999999999996</v>
      </c>
      <c r="F30" s="56">
        <f t="shared" si="9"/>
        <v>9.3577127580091748E-2</v>
      </c>
      <c r="G30" s="21">
        <f t="shared" si="9"/>
        <v>2.8349999999999995</v>
      </c>
      <c r="H30" s="56">
        <f t="shared" si="9"/>
        <v>0.11041898465571212</v>
      </c>
      <c r="I30" s="21">
        <f t="shared" si="9"/>
        <v>3.5049999999999999</v>
      </c>
      <c r="J30" s="56">
        <f t="shared" si="9"/>
        <v>0.14765920215641387</v>
      </c>
      <c r="K30" s="56">
        <f t="shared" si="9"/>
        <v>0.10139571720322962</v>
      </c>
    </row>
    <row r="31" spans="1:11">
      <c r="A31" s="12"/>
      <c r="B31" s="12"/>
      <c r="C31" s="12"/>
      <c r="D31" s="12"/>
      <c r="E31" s="12"/>
      <c r="F31" s="12"/>
      <c r="G31" s="12"/>
      <c r="H31" s="12"/>
      <c r="I31" s="12"/>
      <c r="J31" s="12"/>
      <c r="K31" s="12"/>
    </row>
    <row r="32" spans="1:11" ht="20.25">
      <c r="A32" s="12"/>
      <c r="B32" s="12"/>
      <c r="C32" s="12"/>
      <c r="D32" s="12"/>
      <c r="E32" s="12"/>
      <c r="F32" s="49" t="s">
        <v>0</v>
      </c>
      <c r="G32" s="65" t="s">
        <v>0</v>
      </c>
      <c r="H32" s="12"/>
      <c r="I32" s="12"/>
      <c r="J32" s="12"/>
      <c r="K32" s="12"/>
    </row>
    <row r="33" spans="1:1" ht="18.75">
      <c r="A33" s="248" t="s">
        <v>286</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CFB36B36E7EE46B860E7832FBC9DDB" ma:contentTypeVersion="1" ma:contentTypeDescription="Create a new document." ma:contentTypeScope="" ma:versionID="bff476506a81a32367fb2f95cb3debc2">
  <xsd:schema xmlns:xsd="http://www.w3.org/2001/XMLSchema" xmlns:xs="http://www.w3.org/2001/XMLSchema" xmlns:p="http://schemas.microsoft.com/office/2006/metadata/properties" xmlns:ns2="f94b9277-b0a3-4d91-bade-04ea91219630" targetNamespace="http://schemas.microsoft.com/office/2006/metadata/properties" ma:root="true" ma:fieldsID="93ea9a64a9ab47897a537ad3dd05bc89" ns2:_="">
    <xsd:import namespace="f94b9277-b0a3-4d91-bade-04ea912196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553866-9CCD-4EE6-B12E-15C520367C26}"/>
</file>

<file path=customXml/itemProps2.xml><?xml version="1.0" encoding="utf-8"?>
<ds:datastoreItem xmlns:ds="http://schemas.openxmlformats.org/officeDocument/2006/customXml" ds:itemID="{55E8C981-F808-4436-A36E-406318726B20}"/>
</file>

<file path=customXml/itemProps3.xml><?xml version="1.0" encoding="utf-8"?>
<ds:datastoreItem xmlns:ds="http://schemas.openxmlformats.org/officeDocument/2006/customXml" ds:itemID="{880B6D6D-F5B6-4076-91F4-54A3129834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Cap Rate Study - Liquid MLP Pipelines</dc:title>
  <dc:creator>%USERNAME%</dc:creator>
  <cp:lastModifiedBy>Baker, Mike A (DOR)</cp:lastModifiedBy>
  <cp:lastPrinted>2023-05-30T15:41:49Z</cp:lastPrinted>
  <dcterms:created xsi:type="dcterms:W3CDTF">2016-02-12T19:29:24Z</dcterms:created>
  <dcterms:modified xsi:type="dcterms:W3CDTF">2023-06-05T15:11:01Z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0x01010019CFB36B36E7EE46B860E7832FBC9DDB</vt:lpwstr>
  </property>
</Properties>
</file>